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ichela.staurini\Desktop\Tender\"/>
    </mc:Choice>
  </mc:AlternateContent>
  <bookViews>
    <workbookView xWindow="0" yWindow="0" windowWidth="13305" windowHeight="11805" tabRatio="670" activeTab="3"/>
  </bookViews>
  <sheets>
    <sheet name="Cover Page" sheetId="41" r:id="rId1"/>
    <sheet name="preamble to BOQ" sheetId="42" r:id="rId2"/>
    <sheet name="Summary" sheetId="21" r:id="rId3"/>
    <sheet name="BOQ" sheetId="20" r:id="rId4"/>
    <sheet name="Rebar" sheetId="29"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dhfsjhfsfjfjfj">'[1]05 Ar &amp; St'!#REF!</definedName>
    <definedName name="_____con25">#REF!</definedName>
    <definedName name="____dim03670">#REF!</definedName>
    <definedName name="____gip1">#REF!</definedName>
    <definedName name="____gip2">#REF!</definedName>
    <definedName name="____hcb20">#REF!</definedName>
    <definedName name="____snf300250">#REF!</definedName>
    <definedName name="____tms118">#REF!</definedName>
    <definedName name="____tms136">#REF!</definedName>
    <definedName name="____tms236">#REF!</definedName>
    <definedName name="____tmw065136">#REF!</definedName>
    <definedName name="___A122816">#REF!</definedName>
    <definedName name="___con25">#REF!</definedName>
    <definedName name="___dim03670">#REF!</definedName>
    <definedName name="___gip1">#REF!</definedName>
    <definedName name="___gip2">#REF!</definedName>
    <definedName name="___hcb20">#REF!</definedName>
    <definedName name="___snf300250">#REF!</definedName>
    <definedName name="___tms118">#REF!</definedName>
    <definedName name="___tms136">#REF!</definedName>
    <definedName name="___tms236">#REF!</definedName>
    <definedName name="___tmw065136">#REF!</definedName>
    <definedName name="__A122816">#REF!</definedName>
    <definedName name="__con25">#REF!</definedName>
    <definedName name="__dim03670">#REF!</definedName>
    <definedName name="__flr2">'[2] L -1  sub R-bar for 200Kpa '!$G$1:$G$65536</definedName>
    <definedName name="__gip1">#REF!</definedName>
    <definedName name="__gip2">#REF!</definedName>
    <definedName name="__hcb20">#REF!</definedName>
    <definedName name="__len2">'[2] L -1  sub R-bar for 200Kpa '!$F$1:$F$65536</definedName>
    <definedName name="__mbr2">'[2] L -1  sub R-bar for 200Kpa '!$H$1:$H$65536</definedName>
    <definedName name="__rbr2">'[2] L -1  sub R-bar for 200Kpa '!$I$1:$I$65536</definedName>
    <definedName name="__snf300250">#REF!</definedName>
    <definedName name="__tms118">#REF!</definedName>
    <definedName name="__tms136">#REF!</definedName>
    <definedName name="__tms236">#REF!</definedName>
    <definedName name="__tmw065136">#REF!</definedName>
    <definedName name="_A122816">#REF!</definedName>
    <definedName name="_con25">#REF!</definedName>
    <definedName name="_dim03670">#REF!</definedName>
    <definedName name="_Flr1">'[3]RHS and Lattice purline A-2'!$G$1:$G$65536</definedName>
    <definedName name="_flr2">'[4] L -1  sub R-bar for 200Kpa '!$G$1:$G$65536</definedName>
    <definedName name="_gip1">#REF!</definedName>
    <definedName name="_gip2">#REF!</definedName>
    <definedName name="_hcb20">#REF!</definedName>
    <definedName name="_len2">'[4] L -1  sub R-bar for 200Kpa '!$F$1:$F$65536</definedName>
    <definedName name="_MatInverse_In" hidden="1">#REF!</definedName>
    <definedName name="_mbr1">'[3]RHS and Lattice purline A-2'!$H$1:$H$65536</definedName>
    <definedName name="_mbr2">'[4] L -1  sub R-bar for 200Kpa '!$H$1:$H$65536</definedName>
    <definedName name="_Order1" hidden="1">255</definedName>
    <definedName name="_rbr2">'[4] L -1  sub R-bar for 200Kpa '!$I$1:$I$65536</definedName>
    <definedName name="_snf300250">#REF!</definedName>
    <definedName name="_tms118">#REF!</definedName>
    <definedName name="_tms136">#REF!</definedName>
    <definedName name="_tms236">#REF!</definedName>
    <definedName name="_tmw065136">#REF!</definedName>
    <definedName name="a">#REF!</definedName>
    <definedName name="aaaa">#REF!</definedName>
    <definedName name="aaaaa">#REF!</definedName>
    <definedName name="aaaaaaaa">#REF!</definedName>
    <definedName name="ABC">#REF!</definedName>
    <definedName name="abel">#REF!</definedName>
    <definedName name="acb10a1p">#REF!</definedName>
    <definedName name="acb10a3p">#REF!</definedName>
    <definedName name="acb16a1p">#REF!</definedName>
    <definedName name="acb16a3p">#REF!</definedName>
    <definedName name="acb20a1p">#REF!</definedName>
    <definedName name="acb20a3p">#REF!</definedName>
    <definedName name="acb25a1p">#REF!</definedName>
    <definedName name="acb25a3p">#REF!</definedName>
    <definedName name="acb2a1p">#REF!</definedName>
    <definedName name="acb32a1p">#REF!</definedName>
    <definedName name="acb32a3p">#REF!</definedName>
    <definedName name="acb40a1p">#REF!</definedName>
    <definedName name="acb40a3p">#REF!</definedName>
    <definedName name="acb40a3p2">#REF!</definedName>
    <definedName name="acb50a1p">#REF!</definedName>
    <definedName name="acb50a3p">#REF!</definedName>
    <definedName name="acb63a1p">#REF!</definedName>
    <definedName name="acb63a3p">#REF!</definedName>
    <definedName name="acb6a1p">#REF!</definedName>
    <definedName name="acb6a3p">#REF!</definedName>
    <definedName name="Advance_Repay">#REF!</definedName>
    <definedName name="afdaf">#REF!</definedName>
    <definedName name="airterminal1">#REF!</definedName>
    <definedName name="analyses">#REF!</definedName>
    <definedName name="_xlnm.Print_Area" localSheetId="3">BOQ!$A$1:$F$148</definedName>
    <definedName name="_xlnm.Print_Area" localSheetId="0">'Cover Page'!$A$1:$J$42</definedName>
    <definedName name="_xlnm.Print_Area" localSheetId="1">'preamble to BOQ'!$A$1:$A$41</definedName>
    <definedName name="_xlnm.Print_Area" localSheetId="2">Summary!$A$1:$C$35</definedName>
    <definedName name="asdgadg">#REF!</definedName>
    <definedName name="asfgas">#REF!</definedName>
    <definedName name="b">#REF!</definedName>
    <definedName name="bbbbb">#REF!</definedName>
    <definedName name="bbbbbbbb">#REF!</definedName>
    <definedName name="bbbbbbbbbbbbbbbb">#REF!</definedName>
    <definedName name="Beg_Bal">#REF!</definedName>
    <definedName name="bell">#REF!</definedName>
    <definedName name="bellcallpoint">#REF!</definedName>
    <definedName name="belltransformer">#REF!</definedName>
    <definedName name="bill">#REF!</definedName>
    <definedName name="block_range">'[1]A-2 blcok work Res.'!$A$1:$E$65536</definedName>
    <definedName name="Block_Summary">#REF!</definedName>
    <definedName name="Block_total">'[5]Ar &amp; St'!$M$46</definedName>
    <definedName name="Block_Work">'[1]05 Ar &amp; St'!#REF!</definedName>
    <definedName name="Block_work_range">'[6]E-1 Block Work Residence'!$A$1:$F$65536</definedName>
    <definedName name="Block_work_total">'[1]05 Ar &amp; St'!$M$49</definedName>
    <definedName name="boq">#REF!</definedName>
    <definedName name="buzzer">#REF!</definedName>
    <definedName name="bvvhjh">#REF!</definedName>
    <definedName name="CABLE">[7]price!$G$51</definedName>
    <definedName name="cable2x1.5">#REF!</definedName>
    <definedName name="cable2x10">#REF!</definedName>
    <definedName name="cable2x16">#REF!</definedName>
    <definedName name="cable2x2.5">#REF!</definedName>
    <definedName name="cable2x4">#REF!</definedName>
    <definedName name="cable2x6">#REF!</definedName>
    <definedName name="cable3x1.5">#REF!</definedName>
    <definedName name="cable3x10">#REF!</definedName>
    <definedName name="cable3x12070">#REF!</definedName>
    <definedName name="cable3x15070">#REF!</definedName>
    <definedName name="cable3x16">#REF!</definedName>
    <definedName name="cable3x18595">#REF!</definedName>
    <definedName name="cable3x2.5">#REF!</definedName>
    <definedName name="cable3x240120">#REF!</definedName>
    <definedName name="cable3x2516">#REF!</definedName>
    <definedName name="cable3x300150">#REF!</definedName>
    <definedName name="cable3x3516">#REF!</definedName>
    <definedName name="cable3x4">#REF!</definedName>
    <definedName name="cable3x5025">#REF!</definedName>
    <definedName name="cable3x6">#REF!</definedName>
    <definedName name="cable3x7035">#REF!</definedName>
    <definedName name="cable3x9550">#REF!</definedName>
    <definedName name="cable4x1.5">#REF!</definedName>
    <definedName name="cable4x10">#REF!</definedName>
    <definedName name="cable4x16">#REF!</definedName>
    <definedName name="cable4x2.5">#REF!</definedName>
    <definedName name="cable4x4">#REF!</definedName>
    <definedName name="cable4x6">#REF!</definedName>
    <definedName name="cabletray200x100">#REF!</definedName>
    <definedName name="cabletray400x100">#REF!</definedName>
    <definedName name="cabletray500x110">#REF!</definedName>
    <definedName name="cabletray500x75">#REF!</definedName>
    <definedName name="callpanel12no">#REF!</definedName>
    <definedName name="callpanel16no">#REF!</definedName>
    <definedName name="callpanel24no">#REF!</definedName>
    <definedName name="callpanel8no">#REF!</definedName>
    <definedName name="ccc">#REF!</definedName>
    <definedName name="ceiling">#REF!</definedName>
    <definedName name="ceilingglobe">#REF!</definedName>
    <definedName name="cemic">#REF!</definedName>
    <definedName name="cisheet">#REF!</definedName>
    <definedName name="Column_Info">#REF!</definedName>
    <definedName name="Concrete_total">'[8] Ar &amp; St'!$M$39</definedName>
    <definedName name="conductor10">#REF!</definedName>
    <definedName name="conductor16">#REF!</definedName>
    <definedName name="conductor25">#REF!</definedName>
    <definedName name="conductor35">#REF!</definedName>
    <definedName name="conductor4">#REF!</definedName>
    <definedName name="conductor50">#REF!</definedName>
    <definedName name="conductor6">#REF!</definedName>
    <definedName name="conductor70">#REF!</definedName>
    <definedName name="conduit110">#REF!</definedName>
    <definedName name="conduit13.5">#REF!</definedName>
    <definedName name="conduit16">#REF!</definedName>
    <definedName name="conduit19">#REF!</definedName>
    <definedName name="conduit20">#REF!</definedName>
    <definedName name="conduit21">#REF!</definedName>
    <definedName name="conduit25">#REF!</definedName>
    <definedName name="conduit29">#REF!</definedName>
    <definedName name="conduit32">#REF!</definedName>
    <definedName name="conduit36">#REF!</definedName>
    <definedName name="conduit40">#REF!</definedName>
    <definedName name="conduit50">#REF!</definedName>
    <definedName name="conduit75">#REF!</definedName>
    <definedName name="CONT_QTY">#REF!</definedName>
    <definedName name="contactor10a3p">#REF!</definedName>
    <definedName name="contactor16a3p">#REF!</definedName>
    <definedName name="contactor25a3p">#REF!</definedName>
    <definedName name="contactor32a3p">#REF!</definedName>
    <definedName name="contactor40a3p">#REF!</definedName>
    <definedName name="contactor60a3p">#REF!</definedName>
    <definedName name="contactor6a3p">#REF!</definedName>
    <definedName name="contactor90a3p">#REF!</definedName>
    <definedName name="ContQTYsb">'[1]05 Sub Structure BC = 300'!$F$1:$F$65536</definedName>
    <definedName name="ContQTYsp">'[1]05 Ar &amp; St'!$F$1:$F$65536</definedName>
    <definedName name="ContQTYspr">'[9]Super BOQ'!$F:$F</definedName>
    <definedName name="coppertape25x3">#REF!</definedName>
    <definedName name="Cum_Int">#REF!</definedName>
    <definedName name="curt_qty_sub">'[10]Sub Structure BC = 300'!$I$1:$I$65536</definedName>
    <definedName name="curt_qty_subs">#REF!</definedName>
    <definedName name="CurtAMTsb">'[1]05 Sub Structure BC = 300'!$L$1:$L$65536</definedName>
    <definedName name="CurtAMTspr">'[1]05 Ar &amp; St'!$L$1:$L$65536</definedName>
    <definedName name="CurtAmtsub2">#REF!</definedName>
    <definedName name="CurtQTYsb">'[1]05 Sub Structure BC = 300'!$I$1:$I$65536</definedName>
    <definedName name="CurtQTYspr">'[1]05 Ar &amp; St'!$I$1:$I$65536</definedName>
    <definedName name="CurtQtysub2">#REF!</definedName>
    <definedName name="czdczc">#REF!</definedName>
    <definedName name="d">'[11] analysis'!$J$64</definedName>
    <definedName name="DALI_8BUTTON">#REF!</definedName>
    <definedName name="DALI_DIMMER">#REF!</definedName>
    <definedName name="DALI_INFRARED_SENSOR">#REF!</definedName>
    <definedName name="dali_infraredsensor">#REF!</definedName>
    <definedName name="DALI_MULTISENSOR">#REF!</definedName>
    <definedName name="DALI_POWERSUPPLY">#REF!</definedName>
    <definedName name="DALI_PROGRAM">#REF!</definedName>
    <definedName name="DALI_RELAY">#REF!</definedName>
    <definedName name="dali_remote">#REF!</definedName>
    <definedName name="DALI_SOFTWARE">#REF!</definedName>
    <definedName name="Data">#REF!</definedName>
    <definedName name="data_telecom">#REF!</definedName>
    <definedName name="Dayworks">#REF!</definedName>
    <definedName name="Dayworks10">#REF!</definedName>
    <definedName name="Dayworks11">#REF!</definedName>
    <definedName name="Dayworks12">#REF!</definedName>
    <definedName name="Dayworks13">#REF!</definedName>
    <definedName name="Dayworks14">#REF!</definedName>
    <definedName name="Dayworks15">#REF!</definedName>
    <definedName name="Dayworks16">#REF!</definedName>
    <definedName name="Dayworks2">#REF!</definedName>
    <definedName name="Dayworks3">#REF!</definedName>
    <definedName name="Dayworks4">#REF!</definedName>
    <definedName name="Dayworks5">#REF!</definedName>
    <definedName name="Dayworks6">#REF!</definedName>
    <definedName name="Dayworks7">#REF!</definedName>
    <definedName name="Dayworks8">#REF!</definedName>
    <definedName name="Dayworks9">#REF!</definedName>
    <definedName name="dddd">#REF!</definedName>
    <definedName name="dddddddd">#REF!</definedName>
    <definedName name="ddsss">#REF!</definedName>
    <definedName name="Depth_of_Bulk">'[12]Solomon Weldu A2,E1-FevV'!#REF!</definedName>
    <definedName name="df">#REF!</definedName>
    <definedName name="Dia">#REF!</definedName>
    <definedName name="dilla1">#REF!</definedName>
    <definedName name="dimmerswitch1200w">#REF!</definedName>
    <definedName name="dimmerswitch2000w">#REF!</definedName>
    <definedName name="dimmerswitch300w">#REF!</definedName>
    <definedName name="Door">'[13]Windows and Doors'!$A$5:$Y$10</definedName>
    <definedName name="doorswitchpoint">#REF!</definedName>
    <definedName name="doubleswitch">#REF!</definedName>
    <definedName name="doubletwowayswitch">#REF!</definedName>
    <definedName name="e">'[11] analysis'!$J$64</definedName>
    <definedName name="Earth_W">#REF!</definedName>
    <definedName name="Earth_work">'[1]05 Sub Structure BC = 300'!$M$24</definedName>
    <definedName name="earthrod1200x16">#REF!</definedName>
    <definedName name="earthrod2400x16">#REF!</definedName>
    <definedName name="eeeee">#REF!</definedName>
    <definedName name="eere343">#REF!</definedName>
    <definedName name="End_Bal">#REF!</definedName>
    <definedName name="Equip">'[14]Equipment data'!$B$9:$B$31</definedName>
    <definedName name="ergerh">#REF!</definedName>
    <definedName name="Excavation">'[15] E2 Res (EXC&amp;MAS200kp)'!$A$1:$E$65536</definedName>
    <definedName name="Extra_Pay">#REF!</definedName>
    <definedName name="F">'[9]Supr Rebar'!$G:$G</definedName>
    <definedName name="fasdf">'[13]BOQ Ar &amp; St'!$F$1:$F$65536</definedName>
    <definedName name="fefeef">'[1]05 RB A-2 300kp Res. Sub St.'!#REF!</definedName>
    <definedName name="fffff">#REF!</definedName>
    <definedName name="ffffff">#REF!</definedName>
    <definedName name="ffffffffffffffff">#REF!</definedName>
    <definedName name="ffsfssfsg">#REF!</definedName>
    <definedName name="ffsgsg">#REF!</definedName>
    <definedName name="fhjf">#REF!</definedName>
    <definedName name="ficotp">#REF!</definedName>
    <definedName name="Finishing">'[1]05 Ar &amp; St'!#REF!</definedName>
    <definedName name="Finishing_60">'[16]05 A-2 300kp Res. Sup St.'!$A$1:$F$65536</definedName>
    <definedName name="Finishing_range">#REF!</definedName>
    <definedName name="Finishing_total">#REF!</definedName>
    <definedName name="Finisning_total">'[5]Ar &amp; St'!#REF!</definedName>
    <definedName name="firealarmcontrolpanel">#REF!</definedName>
    <definedName name="floatswitch">#REF!</definedName>
    <definedName name="floorbox">#REF!</definedName>
    <definedName name="flortil">#REF!</definedName>
    <definedName name="Flr">'[13]Sub-Structure Rein'!$G$1:$G$65536</definedName>
    <definedName name="flushpanel12acb">#REF!</definedName>
    <definedName name="flushpanel15acb">#REF!</definedName>
    <definedName name="flushpanel24acb">#REF!</definedName>
    <definedName name="flushpanel36acb">#REF!</definedName>
    <definedName name="flushpanel48acb">#REF!</definedName>
    <definedName name="flushpanel4acb">#REF!</definedName>
    <definedName name="flushpanel6acb">#REF!</definedName>
    <definedName name="flushpanel8acb">#REF!</definedName>
    <definedName name="Footing_Type1">#REF!</definedName>
    <definedName name="formw">#REF!</definedName>
    <definedName name="fr">'[17] Rebar. C '!$G$8:$G$64988</definedName>
    <definedName name="ftt">#REF!</definedName>
    <definedName name="Full_Print">#REF!</definedName>
    <definedName name="fusedswitch125a3p">#REF!</definedName>
    <definedName name="fusedswitch250a3p">#REF!</definedName>
    <definedName name="fusedswitch4003p">#REF!</definedName>
    <definedName name="fusedswitch630a3p">#REF!</definedName>
    <definedName name="fusedswitch63a3p">#REF!</definedName>
    <definedName name="g">#REF!</definedName>
    <definedName name="gddhdhdh">#REF!</definedName>
    <definedName name="gegege">#REF!</definedName>
    <definedName name="GFG">#REF!</definedName>
    <definedName name="gfgfgfgfh">#REF!</definedName>
    <definedName name="gg">#REF!</definedName>
    <definedName name="ggggg">'[17]Block A Rebar'!$F$8:$F$65276</definedName>
    <definedName name="gggggg">'[17]Block A Rebar'!$F$8:$F$65283</definedName>
    <definedName name="gggggggggggg">#REF!</definedName>
    <definedName name="gh">#REF!</definedName>
    <definedName name="ghg">#REF!</definedName>
    <definedName name="GINSHO">#REF!</definedName>
    <definedName name="gip0.5">#REF!</definedName>
    <definedName name="gip0.75">#REF!</definedName>
    <definedName name="glaz">#REF!</definedName>
    <definedName name="glz">'[18]A2 for above 3rd floor'!$G$140</definedName>
    <definedName name="gslabc20">#REF!</definedName>
    <definedName name="h">#REF!</definedName>
    <definedName name="hard">#REF!</definedName>
    <definedName name="Header_Row">ROW(#REF!)</definedName>
    <definedName name="Height_b_n_FFL_and_Bottom_of_Pit1">#REF!</definedName>
    <definedName name="Height_b_n_Profile_and_Bottom_of_Pit1">#REF!</definedName>
    <definedName name="Height_b_n_Profile_and_FFL1">#REF!</definedName>
    <definedName name="Height_b_n_Profile_and_NGL1">#REF!</definedName>
    <definedName name="Height_b_n_Profile_and_RGL1">#REF!</definedName>
    <definedName name="hfhfgh">#REF!</definedName>
    <definedName name="hfhfhfhff">#REF!</definedName>
    <definedName name="hfhfhhf">#REF!</definedName>
    <definedName name="hfjdfhjkahfkaj">#REF!</definedName>
    <definedName name="hghgh">#REF!</definedName>
    <definedName name="hh">#REF!</definedName>
    <definedName name="hhg_bcgf">'[1]05 Ar &amp; St'!#REF!</definedName>
    <definedName name="hhh">#REF!</definedName>
    <definedName name="hhhh">#REF!</definedName>
    <definedName name="hhhhh">#REF!</definedName>
    <definedName name="hhhhhh">'[17]Block A Rebar'!$H$8:$H$65275</definedName>
    <definedName name="hhjkljkljljklj">#REF!</definedName>
    <definedName name="hilina">#REF!</definedName>
    <definedName name="hjcgj">'[17]Block A Rebar'!$F$8:$F$66161</definedName>
    <definedName name="hjfhjfhjfjh">#REF!</definedName>
    <definedName name="hjgfnsdfd">#REF!</definedName>
    <definedName name="Int">#REF!</definedName>
    <definedName name="Interest_Rate">#REF!</definedName>
    <definedName name="intermediateswitch">#REF!</definedName>
    <definedName name="international">#REF!</definedName>
    <definedName name="jfhjfjhjf">#REF!</definedName>
    <definedName name="jfhjhfjhfjhj">#REF!</definedName>
    <definedName name="jfjfhh">#REF!</definedName>
    <definedName name="jgjgjgj">'[17]Block A Rebar'!$F$8:$F$66053</definedName>
    <definedName name="jhfhhffhd">'[1]05 Ar &amp; St'!#REF!</definedName>
    <definedName name="jjj">#REF!</definedName>
    <definedName name="jjjkjkj">#REF!</definedName>
    <definedName name="jkkkk">#REF!</definedName>
    <definedName name="jnry">'[18]A2 for above 3rd floor'!$G$56</definedName>
    <definedName name="Joinery">'[1]05 Ar &amp; St'!#REF!</definedName>
    <definedName name="jtvjbkn">#REF!</definedName>
    <definedName name="KASSAYE">#REF!</definedName>
    <definedName name="kk">#REF!</definedName>
    <definedName name="kkk">#REF!</definedName>
    <definedName name="kkkkk">'[12]Solomon Weldu A2,E1-FevV'!#REF!</definedName>
    <definedName name="kkkkkk">'[19]Sub Structure BC = 200'!#REF!</definedName>
    <definedName name="KWH32A1P">#REF!</definedName>
    <definedName name="kwh63a1p">#REF!</definedName>
    <definedName name="KWH63A3P">#REF!</definedName>
    <definedName name="Landscaping">'[1]05 Ar &amp; St'!#REF!</definedName>
    <definedName name="Last_Row">IF(Values_Entered,Header_Row+Number_of_Payments,Header_Row)</definedName>
    <definedName name="latch">#REF!</definedName>
    <definedName name="ldsp">'[18]A2 for above 3rd floor'!$G$145</definedName>
    <definedName name="Length">'[13]Sub-Structure Rein'!$F$1:$F$65536</definedName>
    <definedName name="length1">'[3]RHS and Lattice purline A-2'!$F$1:$F$65536</definedName>
    <definedName name="lightpoint">#REF!</definedName>
    <definedName name="llll">#REF!</definedName>
    <definedName name="lllllll">#REF!</definedName>
    <definedName name="LNG">'[9]Supr Rebar'!$F:$F</definedName>
    <definedName name="Loan_Amount">#REF!</definedName>
    <definedName name="Loan_Start">#REF!</definedName>
    <definedName name="Loan_Years">#REF!</definedName>
    <definedName name="lot">#REF!</definedName>
    <definedName name="M">'[9]Supr Rebar'!$H:$H</definedName>
    <definedName name="masa">#REF!</definedName>
    <definedName name="masb">#REF!</definedName>
    <definedName name="Masonry_Work">'[1]05 Sub Structure BC = 300'!$M$62</definedName>
    <definedName name="Mbr">'[13]Sub-Structure Rein'!$H$1:$H$65536</definedName>
    <definedName name="mccb1000a3p">#REF!</definedName>
    <definedName name="mccb100a3p">#REF!</definedName>
    <definedName name="mccb1250a3p">#REF!</definedName>
    <definedName name="mccb125a3p">#REF!</definedName>
    <definedName name="mccb1600a3p">#REF!</definedName>
    <definedName name="mccb160a3p">#REF!</definedName>
    <definedName name="mccb200a3p">#REF!</definedName>
    <definedName name="mccb250a3p">#REF!</definedName>
    <definedName name="mccb315a3p">#REF!</definedName>
    <definedName name="mccb350a3p">#REF!</definedName>
    <definedName name="mccb400a3p">#REF!</definedName>
    <definedName name="mccb500a3p">#REF!</definedName>
    <definedName name="mccb630a3p">#REF!</definedName>
    <definedName name="mccb80a3p">#REF!</definedName>
    <definedName name="Metal_Work">'[1]05 Ar &amp; St'!#REF!</definedName>
    <definedName name="MEWD">#REF!</definedName>
    <definedName name="mh">'[1]05 Ar &amp; St'!#REF!</definedName>
    <definedName name="mmm">#REF!</definedName>
    <definedName name="mmmmmm">#REF!</definedName>
    <definedName name="movement_sensor">#REF!</definedName>
    <definedName name="MR">'[20]communal sub r-bar'!$H$1:$H$65536</definedName>
    <definedName name="mtl">'[18]A2 for above 3rd floor'!$G$74</definedName>
    <definedName name="nbnnnb">#REF!</definedName>
    <definedName name="new">'[21] analysis'!$J$64</definedName>
    <definedName name="NEWR">'[21] analysis'!$J$64</definedName>
    <definedName name="nnbnbnbnbc">#REF!</definedName>
    <definedName name="nnnnc">#REF!</definedName>
    <definedName name="nnnnnn">'[1]05 Ar &amp; St'!#REF!</definedName>
    <definedName name="Num_Pmt_Per_Year">#REF!</definedName>
    <definedName name="Number_of_Payments">MATCH(0.01,End_Bal,-1)+1</definedName>
    <definedName name="nvnvnvnv">#REF!</definedName>
    <definedName name="pacific095136">#REF!</definedName>
    <definedName name="pacific095236">#REF!</definedName>
    <definedName name="paint">#REF!</definedName>
    <definedName name="Pay_Date">#REF!</definedName>
    <definedName name="Pay_Num">#REF!</definedName>
    <definedName name="Payment_Date">DATE(YEAR(Loan_Start),MONTH(Loan_Start)+Payment_Number,DAY(Loan_Start))</definedName>
    <definedName name="photocell">#REF!</definedName>
    <definedName name="plate_range">#REF!</definedName>
    <definedName name="Plates">#REF!</definedName>
    <definedName name="pnt">'[18]A2 for above 3rd floor'!$G$134</definedName>
    <definedName name="po">#REF!</definedName>
    <definedName name="point">#REF!</definedName>
    <definedName name="POOOOOOOO">#REF!</definedName>
    <definedName name="poouuuuuuuuu">#REF!</definedName>
    <definedName name="potyyyy">#REF!</definedName>
    <definedName name="poweroutlet25a1p3x6">#REF!</definedName>
    <definedName name="poweroutlet25a3p4x6">#REF!</definedName>
    <definedName name="prev_qty_sup">'[22] Ar &amp; St'!$H$1:$H$65536</definedName>
    <definedName name="prev_qy_sub">'[10]Sub Structure BC = 300'!$H$1:$H$65536</definedName>
    <definedName name="PrevAMTsb">'[1]05 Sub Structure BC = 300'!$K$1:$K$65536</definedName>
    <definedName name="PrevAMTspr">'[1]05 Ar &amp; St'!$K$1:$K$65536</definedName>
    <definedName name="PrevAmtSub2">#REF!</definedName>
    <definedName name="preventorp1">#REF!</definedName>
    <definedName name="preventorp2">#REF!</definedName>
    <definedName name="preventorp3">#REF!</definedName>
    <definedName name="preventorp4">#REF!</definedName>
    <definedName name="prevqty2">#REF!</definedName>
    <definedName name="PrevQTYsb">'[1]05 Sub Structure BC = 300'!$H$1:$H$65536</definedName>
    <definedName name="PrevQTYsb2">#REF!</definedName>
    <definedName name="PrevQTYspr">'[1]05 Ar &amp; St'!$H$1:$H$65536</definedName>
    <definedName name="PrevQtysub2">#REF!</definedName>
    <definedName name="Princ">#REF!</definedName>
    <definedName name="Print_Area_Reset">OFFSET(Full_Print,0,0,Last_Row)</definedName>
    <definedName name="ptli">#REF!</definedName>
    <definedName name="pvcconductor1.5">#REF!</definedName>
    <definedName name="pvcconductor10">#REF!</definedName>
    <definedName name="pvcconductor16">#REF!</definedName>
    <definedName name="pvcconductor2.5">#REF!</definedName>
    <definedName name="pvcconductor25">#REF!</definedName>
    <definedName name="pvcconductor4">#REF!</definedName>
    <definedName name="pvcconductor6">#REF!</definedName>
    <definedName name="Q">#REF!</definedName>
    <definedName name="rahel">#REF!</definedName>
    <definedName name="Ratesb">'[1]05 Sub Structure BC = 300'!$E$1:$E$65536</definedName>
    <definedName name="Ratesp">'[1]05 Ar &amp; St'!$E$1:$E$65536</definedName>
    <definedName name="RB">'[9]Supr Rebar'!$I:$I</definedName>
    <definedName name="Rbar1">'[3]RHS and Lattice purline A-2'!$I$1:$I$65536</definedName>
    <definedName name="Rbr">'[13]Sub-Structure Rein'!$I$1:$I$65536</definedName>
    <definedName name="rei">#REF!</definedName>
    <definedName name="rende">#REF!</definedName>
    <definedName name="Reside">#REF!</definedName>
    <definedName name="rf">'[18]A2 for above 3rd floor'!$G$49</definedName>
    <definedName name="RFT">'[1]05 Ar &amp; St'!#REF!</definedName>
    <definedName name="rhsprofile">#REF!</definedName>
    <definedName name="roofing_range">[10]Roofing!$A$1:$F$65536</definedName>
    <definedName name="Roofing_total">#REF!</definedName>
    <definedName name="s">#REF!</definedName>
    <definedName name="SALI_REMOTE">#REF!</definedName>
    <definedName name="sat_tv_fm">#REF!</definedName>
    <definedName name="sat_tv_fm_l">#REF!</definedName>
    <definedName name="sat_tv_fm_t">#REF!</definedName>
    <definedName name="sbgslbg">#REF!</definedName>
    <definedName name="SbØ12">'[23]SUB ST'!$L$593</definedName>
    <definedName name="SbØ14">'[23]SUB ST'!$M$593</definedName>
    <definedName name="SbØ16">'[23]SUB ST'!$N$593</definedName>
    <definedName name="SbØ20">'[23]SUB ST'!$O$593</definedName>
    <definedName name="SbØ24">'[23]SUB ST'!$P$593</definedName>
    <definedName name="SBQTY">#REF!</definedName>
    <definedName name="Sched_Pay">#REF!</definedName>
    <definedName name="Scheduled_Extra_Payments">#REF!</definedName>
    <definedName name="Scheduled_Interest_Rate">#REF!</definedName>
    <definedName name="Scheduled_Monthly_Payment">#REF!</definedName>
    <definedName name="screed">#REF!</definedName>
    <definedName name="sene">#REF!</definedName>
    <definedName name="SERVICE">#REF!</definedName>
    <definedName name="sfa">'[24]05 A-2 300kp Shop Sup St.'!$A$1:$F$65536</definedName>
    <definedName name="sfgasg">#REF!</definedName>
    <definedName name="sFlr">'[25]05 RB A-2 300kp Shop Sub St.'!$G$1:$G$65536</definedName>
    <definedName name="singleswitch">#REF!</definedName>
    <definedName name="singleswitchwp">#REF!</definedName>
    <definedName name="sinto">#REF!</definedName>
    <definedName name="sMbr">'[25]05 RB A-2 300kp Shop Sub St.'!$H$1:$H$65536</definedName>
    <definedName name="socket10a1p">#REF!</definedName>
    <definedName name="socket16a1p">#REF!</definedName>
    <definedName name="SOCKET16A3P">#REF!</definedName>
    <definedName name="socket16a3x4">#REF!</definedName>
    <definedName name="SOCKET20A1P">#REF!</definedName>
    <definedName name="socketoutlet_schucko">#REF!</definedName>
    <definedName name="socketwithswitch16a1p">#REF!</definedName>
    <definedName name="socketwp10a1p">#REF!</definedName>
    <definedName name="spblk">'[18]A2 for above 3rd floor'!$G$41</definedName>
    <definedName name="spco">'[18]A2 for above 3rd floor'!$G$31</definedName>
    <definedName name="SPECIFICATION">#REF!</definedName>
    <definedName name="SpØ10">'[23]SUPER ST'!$L$2388</definedName>
    <definedName name="SpØ12">'[23]SUPER ST'!$M$2388</definedName>
    <definedName name="SpØ14">'[23]SUPER ST'!$N$2388</definedName>
    <definedName name="SpØ16">'[13]Super-Structure Rein'!$P$227</definedName>
    <definedName name="SpØ20">'[13]Super-Structure Rein'!$Q$227</definedName>
    <definedName name="SpØ24">'[13]Super-Structure Rein'!$R$227</definedName>
    <definedName name="SpØ6">'[23]SUPER ST'!$J$2388</definedName>
    <definedName name="SpØ8">'[23]SUPER ST'!$K$2388</definedName>
    <definedName name="SprQTY">#REF!</definedName>
    <definedName name="srgas">#REF!</definedName>
    <definedName name="ss">'[1]05 RB A-2 300kp Res. Sub St.'!#REF!</definedName>
    <definedName name="ss.">#REF!</definedName>
    <definedName name="sshgyighjkuhv">#REF!</definedName>
    <definedName name="ssss">#REF!</definedName>
    <definedName name="ssssss">'[1]05 Ar &amp; St'!#REF!</definedName>
    <definedName name="ssssssssssssssssssssssssssssssssssssssssssssss">#REF!</definedName>
    <definedName name="staf">#REF!</definedName>
    <definedName name="staircasetimerswitch">#REF!</definedName>
    <definedName name="steelmast20">#REF!</definedName>
    <definedName name="steelpole12">#REF!</definedName>
    <definedName name="steelpole3">#REF!</definedName>
    <definedName name="steelpole6">#REF!</definedName>
    <definedName name="steelpole9">#REF!</definedName>
    <definedName name="Stirupp_Info">#REF!</definedName>
    <definedName name="Stl_Truss">'[13]T-OFF'!$A$1:$F$65536</definedName>
    <definedName name="Str_Steel_Work">'[1]05 Ar &amp; St'!#REF!</definedName>
    <definedName name="stralstl">'[18]A2 for above 3rd floor'!$G$103</definedName>
    <definedName name="Structural_steel_work">#REF!</definedName>
    <definedName name="Structural_steel_work_total">'[8] Ar &amp; St'!$M$77</definedName>
    <definedName name="strutural_steel_total">'[26]08 Ar &amp; St'!$M$23</definedName>
    <definedName name="sub">#REF!</definedName>
    <definedName name="Sub_Concrete">#REF!</definedName>
    <definedName name="Sub_Concrete_Work">'[1]05 Sub Structure BC = 300'!$M$57</definedName>
    <definedName name="Sub_Structure">'[1]05 Summary'!$E$21</definedName>
    <definedName name="subdia">'[27]RB E-1 300kp SHOP. Sub St.'!$D$1:$D$65536</definedName>
    <definedName name="sum">#REF!</definedName>
    <definedName name="Sum?">#REF!</definedName>
    <definedName name="super">'[1]05 A-2 300kp Sup St.'!$A$1:$F$65536</definedName>
    <definedName name="Super_concrete_range">'[10]E-1 300kp Res. Sup St.'!$A$1:$F$65536</definedName>
    <definedName name="Super_Concrete_Work">'[1]05 Ar &amp; St'!$M$40</definedName>
    <definedName name="super_qty_range">'[5]E-1 200kp  Sup St.'!$A$1:$F$65536</definedName>
    <definedName name="Super_Structure">'[1]05 Summary'!$E$37</definedName>
    <definedName name="supper">#REF!</definedName>
    <definedName name="surfacepanel12acb">#REF!</definedName>
    <definedName name="surfacepanel24acb">#REF!</definedName>
    <definedName name="surfacepanel36acb">#REF!</definedName>
    <definedName name="surfacepanel8acb">#REF!</definedName>
    <definedName name="surgearrester_40">#REF!</definedName>
    <definedName name="surgearrester_70">#REF!</definedName>
    <definedName name="surv">#REF!</definedName>
    <definedName name="SURVICE">#REF!</definedName>
    <definedName name="t">#REF!</definedName>
    <definedName name="tcs058136il">#REF!</definedName>
    <definedName name="tcs058136io">#REF!</definedName>
    <definedName name="tcs058136ip">#REF!</definedName>
    <definedName name="tcs058236dl">#REF!</definedName>
    <definedName name="tcs058236do">#REF!</definedName>
    <definedName name="tcs058236dp">#REF!</definedName>
    <definedName name="TECHN">#N/A</definedName>
    <definedName name="tel">#REF!</definedName>
    <definedName name="telephonepoint">#REF!</definedName>
    <definedName name="Test">'[1]05 Summary'!$E$14</definedName>
    <definedName name="testclamp25x3">#REF!</definedName>
    <definedName name="testclamp5070">#REF!</definedName>
    <definedName name="Three_H_A_2">'[28]Solomon Weldu A2,E1-FevV'!#REF!</definedName>
    <definedName name="timerswitch">#REF!</definedName>
    <definedName name="_xlnm.Print_Titles" localSheetId="3">BOQ!$2:$2</definedName>
    <definedName name="tms136gdl140">#REF!</definedName>
    <definedName name="tms136gkd140">#REF!</definedName>
    <definedName name="tms236gkh240">#REF!</definedName>
    <definedName name="TodateQTYspr">'[1]05 Ar &amp; St'!$J$1:$J$65536</definedName>
    <definedName name="Total">'[13]Sub-Structure Rein'!$J$1:$J$65536</definedName>
    <definedName name="Total_block_work">#REF!</definedName>
    <definedName name="Total_Interest">#REF!</definedName>
    <definedName name="Total_Pay">#REF!</definedName>
    <definedName name="Total_Structural_Steel_Work">'[29]06 to 08 Ar &amp; St'!$M$69</definedName>
    <definedName name="Total_summary">#REF!</definedName>
    <definedName name="total1">'[3]RHS and Lattice purline A-2'!$J$1:$J$65536</definedName>
    <definedName name="total2">'[4] L -1  sub R-bar for 200Kpa '!$J$1:$J$65536</definedName>
    <definedName name="TotalBridges10">'[30]Bills of Quantities'!#REF!</definedName>
    <definedName name="TotalBridges11">'[30]Bills of Quantities'!#REF!</definedName>
    <definedName name="TotalBridges12">'[30]Bills of Quantities'!#REF!</definedName>
    <definedName name="TotalBridges13">'[30]Bills of Quantities'!#REF!</definedName>
    <definedName name="TotalBridges14">'[30]Bills of Quantities'!#REF!</definedName>
    <definedName name="TotalBridges15">'[30]Bills of Quantities'!#REF!</definedName>
    <definedName name="TotalBridges16">'[30]Bills of Quantities'!#REF!</definedName>
    <definedName name="TotalBridges2">'[30]Bills of Quantities'!$O$126</definedName>
    <definedName name="TotalBridges3">'[30]Bills of Quantities'!#REF!</definedName>
    <definedName name="TotalBridges4">'[30]Bills of Quantities'!#REF!</definedName>
    <definedName name="TotalBridges5">'[30]Bills of Quantities'!#REF!</definedName>
    <definedName name="TotalBridges6">'[30]Bills of Quantities'!#REF!</definedName>
    <definedName name="TotalBridges7">'[30]Bills of Quantities'!#REF!</definedName>
    <definedName name="TotalBridges8">'[30]Bills of Quantities'!#REF!</definedName>
    <definedName name="TotalBridges9">'[30]Bills of Quantities'!#REF!</definedName>
    <definedName name="TotalDayworks2">#REF!</definedName>
    <definedName name="TotalEarthworks10">'[30]Bills of Quantities'!#REF!</definedName>
    <definedName name="TotalEarthworks11">'[30]Bills of Quantities'!#REF!</definedName>
    <definedName name="TotalEarthworks12">'[30]Bills of Quantities'!#REF!</definedName>
    <definedName name="TotalEarthworks13">'[30]Bills of Quantities'!#REF!</definedName>
    <definedName name="TotalEarthworks14">'[30]Bills of Quantities'!#REF!</definedName>
    <definedName name="TotalEarthworks15">'[30]Bills of Quantities'!#REF!</definedName>
    <definedName name="TotalEarthworks16">'[30]Bills of Quantities'!#REF!</definedName>
    <definedName name="TotalEarthworks2">'[30]Bills of Quantities'!$O$17</definedName>
    <definedName name="TotalEarthworks3">'[30]Bills of Quantities'!#REF!</definedName>
    <definedName name="TotalEarthworks4">'[30]Bills of Quantities'!#REF!</definedName>
    <definedName name="TotalEarthworks5">'[30]Bills of Quantities'!#REF!</definedName>
    <definedName name="TotalEarthworks6">'[30]Bills of Quantities'!#REF!</definedName>
    <definedName name="TotalEarthworks7">'[30]Bills of Quantities'!#REF!</definedName>
    <definedName name="TotalEarthworks8">'[30]Bills of Quantities'!#REF!</definedName>
    <definedName name="TotalEarthworks9">'[30]Bills of Quantities'!#REF!</definedName>
    <definedName name="TotalIncidentals10">'[30]Bills of Quantities'!#REF!</definedName>
    <definedName name="TotalIncidentals11">'[30]Bills of Quantities'!#REF!</definedName>
    <definedName name="TotalIncidentals12">'[30]Bills of Quantities'!#REF!</definedName>
    <definedName name="TotalIncidentals13">'[30]Bills of Quantities'!#REF!</definedName>
    <definedName name="TotalIncidentals14">'[30]Bills of Quantities'!#REF!</definedName>
    <definedName name="TotalIncidentals15">'[30]Bills of Quantities'!#REF!</definedName>
    <definedName name="TotalIncidentals16">'[30]Bills of Quantities'!#REF!</definedName>
    <definedName name="TotalIncidentals2">'[30]Bills of Quantities'!$O$151</definedName>
    <definedName name="TotalIncidentals3">'[30]Bills of Quantities'!#REF!</definedName>
    <definedName name="TotalIncidentals4">'[30]Bills of Quantities'!#REF!</definedName>
    <definedName name="TotalIncidentals5">'[30]Bills of Quantities'!#REF!</definedName>
    <definedName name="TotalIncidentals6">'[30]Bills of Quantities'!#REF!</definedName>
    <definedName name="TotalIncidentals7">'[30]Bills of Quantities'!#REF!</definedName>
    <definedName name="TotalIncidentals8">'[30]Bills of Quantities'!#REF!</definedName>
    <definedName name="TotalIncidentals9">'[30]Bills of Quantities'!#REF!</definedName>
    <definedName name="TotalMisc10">'[30]Bills of Quantities'!#REF!</definedName>
    <definedName name="TotalMisc11">'[30]Bills of Quantities'!#REF!</definedName>
    <definedName name="TotalMisc12">'[30]Bills of Quantities'!#REF!</definedName>
    <definedName name="TotalMisc13">'[30]Bills of Quantities'!#REF!</definedName>
    <definedName name="TotalMisc14">'[30]Bills of Quantities'!#REF!</definedName>
    <definedName name="TotalMisc15">'[30]Bills of Quantities'!#REF!</definedName>
    <definedName name="TotalMisc16">'[30]Bills of Quantities'!#REF!</definedName>
    <definedName name="TotalMisc2">'[30]Bills of Quantities'!$O$201</definedName>
    <definedName name="TotalMisc3">'[30]Bills of Quantities'!#REF!</definedName>
    <definedName name="TotalMisc4">'[30]Bills of Quantities'!#REF!</definedName>
    <definedName name="TotalMisc5">'[30]Bills of Quantities'!#REF!</definedName>
    <definedName name="TotalMisc6">'[30]Bills of Quantities'!#REF!</definedName>
    <definedName name="TotalMisc7">'[30]Bills of Quantities'!#REF!</definedName>
    <definedName name="TotalMisc8">'[30]Bills of Quantities'!#REF!</definedName>
    <definedName name="TotalMisc9">'[30]Bills of Quantities'!#REF!</definedName>
    <definedName name="TotalPavements10">'[30]Bills of Quantities'!#REF!</definedName>
    <definedName name="TotalPavements11">'[30]Bills of Quantities'!#REF!</definedName>
    <definedName name="TotalPavements12">'[30]Bills of Quantities'!#REF!</definedName>
    <definedName name="TotalPavements13">'[30]Bills of Quantities'!#REF!</definedName>
    <definedName name="TotalPavements14">'[30]Bills of Quantities'!#REF!</definedName>
    <definedName name="TotalPavements15">'[30]Bills of Quantities'!#REF!</definedName>
    <definedName name="TotalPavements16">'[30]Bills of Quantities'!#REF!</definedName>
    <definedName name="TotalPavements2">'[30]Bills of Quantities'!$O$30</definedName>
    <definedName name="TotalPavements3">'[30]Bills of Quantities'!#REF!</definedName>
    <definedName name="TotalPavements4">'[30]Bills of Quantities'!#REF!</definedName>
    <definedName name="TotalPavements5">'[30]Bills of Quantities'!#REF!</definedName>
    <definedName name="TotalPavements6">'[30]Bills of Quantities'!#REF!</definedName>
    <definedName name="TotalPavements7">'[30]Bills of Quantities'!#REF!</definedName>
    <definedName name="TotalPavements8">'[30]Bills of Quantities'!#REF!</definedName>
    <definedName name="TotalPavements9">'[30]Bills of Quantities'!#REF!</definedName>
    <definedName name="TotalStructures10">'[30]Bills of Quantities'!#REF!</definedName>
    <definedName name="TotalStructures11">'[30]Bills of Quantities'!#REF!</definedName>
    <definedName name="TotalStructures12">'[30]Bills of Quantities'!#REF!</definedName>
    <definedName name="TotalStructures13">'[30]Bills of Quantities'!#REF!</definedName>
    <definedName name="TotalStructures14">'[30]Bills of Quantities'!#REF!</definedName>
    <definedName name="TotalStructures15">'[30]Bills of Quantities'!#REF!</definedName>
    <definedName name="TotalStructures16">'[30]Bills of Quantities'!#REF!</definedName>
    <definedName name="TotalStructures2">'[30]Bills of Quantities'!$O$89</definedName>
    <definedName name="TotalStructures3">'[30]Bills of Quantities'!#REF!</definedName>
    <definedName name="TotalStructures4">'[30]Bills of Quantities'!#REF!</definedName>
    <definedName name="TotalStructures5">'[30]Bills of Quantities'!#REF!</definedName>
    <definedName name="TotalStructures6">'[30]Bills of Quantities'!#REF!</definedName>
    <definedName name="TotalStructures7">'[30]Bills of Quantities'!#REF!</definedName>
    <definedName name="TotalStructures8">'[30]Bills of Quantities'!#REF!</definedName>
    <definedName name="TotalStructures9">'[30]Bills of Quantities'!#REF!</definedName>
    <definedName name="TR">#N/A</definedName>
    <definedName name="TTL">'[9]Supr Rebar'!$J:$J</definedName>
    <definedName name="tv">#REF!</definedName>
    <definedName name="tvaerial10element">#REF!</definedName>
    <definedName name="tvoutletloopthrough">#REF!</definedName>
    <definedName name="tvoutletterminal">#REF!</definedName>
    <definedName name="tvpoint">#REF!</definedName>
    <definedName name="Twenty_Five_H_A_2">'[28]Solomon Weldu A2,E1-FevV'!#REF!</definedName>
    <definedName name="Two_H">#REF!</definedName>
    <definedName name="Two_H_A_2">'[28]Solomon Weldu A2,E1-FevV'!#REF!</definedName>
    <definedName name="twowayswitch">#REF!</definedName>
    <definedName name="u">#REF!</definedName>
    <definedName name="untprice">#REF!</definedName>
    <definedName name="uuu">'[17]Block A Rebar'!$H$8:$H$66375</definedName>
    <definedName name="Values_Entered">IF(Loan_Amount*Interest_Rate*Loan_Years*Loan_Start&gt;0,1,0)</definedName>
    <definedName name="vcvcvzcb">#REF!</definedName>
    <definedName name="vDateTime">#REF!</definedName>
    <definedName name="vDiastolic">#REF!</definedName>
    <definedName name="vfghdhhdh">#REF!</definedName>
    <definedName name="vHeartRate">#REF!</definedName>
    <definedName name="vibrationdetector">#REF!</definedName>
    <definedName name="vSystolic">#REF!</definedName>
    <definedName name="vvvvvvvv">#REF!</definedName>
    <definedName name="wallglobe">#REF!</definedName>
    <definedName name="wer">#REF!</definedName>
    <definedName name="Window_Door">'[13]Windows and Doors'!$A$23:$Y$40</definedName>
    <definedName name="Windows">'[13]Windows and Doors'!$A$12:$Y$21</definedName>
    <definedName name="WORK">[31]wa!$C$16:$I$17</definedName>
    <definedName name="WORK1">[31]wa!$C$16:$I$17</definedName>
    <definedName name="xbxbbxbx">#REF!</definedName>
    <definedName name="xCCc">#REF!</definedName>
    <definedName name="xczczc">'[32]Windows and Doors'!$A$5:$Y$10</definedName>
    <definedName name="xxx">#REF!</definedName>
    <definedName name="xxxxbx">#REF!</definedName>
    <definedName name="yyyyyy">#REF!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42" i="20" l="1"/>
  <c r="F138" i="20"/>
  <c r="F135" i="20"/>
  <c r="F132" i="20"/>
  <c r="F131" i="20"/>
  <c r="F128" i="20"/>
  <c r="F143" i="20" l="1"/>
  <c r="C15" i="21" s="1"/>
  <c r="F44" i="20"/>
  <c r="F45" i="20" l="1"/>
  <c r="F43" i="20"/>
  <c r="F47" i="20" l="1"/>
  <c r="C8" i="21" s="1"/>
  <c r="F82" i="20"/>
  <c r="F81" i="20"/>
  <c r="F80" i="20"/>
  <c r="F79" i="20"/>
  <c r="F78" i="20"/>
  <c r="F77" i="20"/>
  <c r="F76" i="20"/>
  <c r="F75" i="20"/>
  <c r="F74" i="20"/>
  <c r="F73" i="20"/>
  <c r="F72" i="20"/>
  <c r="F71" i="20"/>
  <c r="F66" i="20"/>
  <c r="F65" i="20"/>
  <c r="F15" i="20" l="1"/>
  <c r="F14" i="20"/>
  <c r="F13" i="20"/>
  <c r="F12" i="20"/>
  <c r="F11" i="20"/>
  <c r="F10" i="20"/>
  <c r="F9" i="20"/>
  <c r="F8" i="20"/>
  <c r="F17" i="20" l="1"/>
  <c r="C6" i="21" s="1"/>
  <c r="F51" i="20" l="1"/>
  <c r="F57" i="20" l="1"/>
  <c r="F59" i="20" s="1"/>
  <c r="F147" i="20"/>
  <c r="F148" i="20" l="1"/>
  <c r="C16" i="21" s="1"/>
  <c r="F101" i="20" l="1"/>
  <c r="F68" i="20" l="1"/>
  <c r="F94" i="20" l="1"/>
  <c r="F93" i="20" l="1"/>
  <c r="F91" i="20"/>
  <c r="F67" i="20"/>
  <c r="C63" i="29"/>
  <c r="D63" i="29"/>
  <c r="H63" i="29"/>
  <c r="F58" i="29"/>
  <c r="G58" i="29"/>
  <c r="B58" i="29"/>
  <c r="G62" i="29"/>
  <c r="F62" i="29"/>
  <c r="B62" i="29"/>
  <c r="G61" i="29"/>
  <c r="B61" i="29"/>
  <c r="F61" i="29"/>
  <c r="G60" i="29"/>
  <c r="F60" i="29"/>
  <c r="B60" i="29"/>
  <c r="G59" i="29"/>
  <c r="B59" i="29"/>
  <c r="F57" i="29"/>
  <c r="G57" i="29"/>
  <c r="B57" i="29"/>
  <c r="F56" i="29"/>
  <c r="G56" i="29"/>
  <c r="B56" i="29"/>
  <c r="F55" i="29"/>
  <c r="G55" i="29"/>
  <c r="B55" i="29"/>
  <c r="F54" i="29"/>
  <c r="G54" i="29"/>
  <c r="B54" i="29"/>
  <c r="B53" i="29"/>
  <c r="B52" i="29"/>
  <c r="F53" i="29"/>
  <c r="G53" i="29"/>
  <c r="G52" i="29"/>
  <c r="B51" i="29"/>
  <c r="G51" i="29"/>
  <c r="G49" i="29"/>
  <c r="F49" i="29"/>
  <c r="B49" i="29"/>
  <c r="G48" i="29"/>
  <c r="F48" i="29"/>
  <c r="B48" i="29"/>
  <c r="G47" i="29"/>
  <c r="F47" i="29"/>
  <c r="B47" i="29"/>
  <c r="G46" i="29"/>
  <c r="F46" i="29"/>
  <c r="E46" i="29"/>
  <c r="B46" i="29"/>
  <c r="G45" i="29"/>
  <c r="F45" i="29"/>
  <c r="B45" i="29"/>
  <c r="G44" i="29"/>
  <c r="F44" i="29"/>
  <c r="B44" i="29"/>
  <c r="G43" i="29"/>
  <c r="F43" i="29"/>
  <c r="B43" i="29"/>
  <c r="F42" i="29"/>
  <c r="E42" i="29"/>
  <c r="B42" i="29"/>
  <c r="G41" i="29"/>
  <c r="F41" i="29"/>
  <c r="B41" i="29"/>
  <c r="G40" i="29"/>
  <c r="F40" i="29"/>
  <c r="B40" i="29"/>
  <c r="G39" i="29"/>
  <c r="F39" i="29"/>
  <c r="B39" i="29"/>
  <c r="G38" i="29"/>
  <c r="F38" i="29"/>
  <c r="B38" i="29"/>
  <c r="G37" i="29"/>
  <c r="F37" i="29"/>
  <c r="B37" i="29"/>
  <c r="G36" i="29"/>
  <c r="B36" i="29"/>
  <c r="G35" i="29"/>
  <c r="F35" i="29"/>
  <c r="B35" i="29"/>
  <c r="G34" i="29"/>
  <c r="B34" i="29"/>
  <c r="G33" i="29"/>
  <c r="F33" i="29"/>
  <c r="B33" i="29"/>
  <c r="G32" i="29"/>
  <c r="F32" i="29"/>
  <c r="B32" i="29"/>
  <c r="G30" i="29"/>
  <c r="F30" i="29"/>
  <c r="B30" i="29"/>
  <c r="G29" i="29"/>
  <c r="F29" i="29"/>
  <c r="B29" i="29"/>
  <c r="G28" i="29"/>
  <c r="F28" i="29"/>
  <c r="B28" i="29"/>
  <c r="G27" i="29"/>
  <c r="B27" i="29"/>
  <c r="G26" i="29"/>
  <c r="F26" i="29"/>
  <c r="B26" i="29"/>
  <c r="G25" i="29"/>
  <c r="F25" i="29"/>
  <c r="B25" i="29"/>
  <c r="G24" i="29"/>
  <c r="F24" i="29"/>
  <c r="B24" i="29"/>
  <c r="G23" i="29"/>
  <c r="F23" i="29"/>
  <c r="B23" i="29"/>
  <c r="G22" i="29"/>
  <c r="F22" i="29"/>
  <c r="B22" i="29"/>
  <c r="G21" i="29"/>
  <c r="F21" i="29"/>
  <c r="B21" i="29"/>
  <c r="G20" i="29"/>
  <c r="F20" i="29"/>
  <c r="B20" i="29"/>
  <c r="F19" i="29"/>
  <c r="E19" i="29"/>
  <c r="B19" i="29"/>
  <c r="G18" i="29"/>
  <c r="G63" i="29" s="1"/>
  <c r="F18" i="29"/>
  <c r="B18" i="29"/>
  <c r="F17" i="29"/>
  <c r="E17" i="29"/>
  <c r="B17" i="29"/>
  <c r="G16" i="29"/>
  <c r="F16" i="29"/>
  <c r="B16" i="29"/>
  <c r="E15" i="29"/>
  <c r="B15" i="29"/>
  <c r="F14" i="29"/>
  <c r="E14" i="29"/>
  <c r="B14" i="29"/>
  <c r="G13" i="29"/>
  <c r="F13" i="29"/>
  <c r="B13" i="29"/>
  <c r="E12" i="29"/>
  <c r="B12" i="29"/>
  <c r="E11" i="29"/>
  <c r="B11" i="29"/>
  <c r="E10" i="29"/>
  <c r="B10" i="29"/>
  <c r="E9" i="29"/>
  <c r="B9" i="29"/>
  <c r="E8" i="29"/>
  <c r="B8" i="29"/>
  <c r="E7" i="29"/>
  <c r="B7" i="29"/>
  <c r="E6" i="29"/>
  <c r="B6" i="29"/>
  <c r="E5" i="29"/>
  <c r="B5" i="29"/>
  <c r="E4" i="29"/>
  <c r="B4" i="29"/>
  <c r="E3" i="29"/>
  <c r="B3" i="29"/>
  <c r="E2" i="29"/>
  <c r="B2" i="29"/>
  <c r="F63" i="29" l="1"/>
  <c r="E63" i="29"/>
  <c r="F97" i="20"/>
  <c r="F31" i="20"/>
  <c r="B63" i="29"/>
  <c r="F37" i="20"/>
  <c r="F98" i="20"/>
  <c r="F90" i="20"/>
  <c r="F50" i="20"/>
  <c r="F83" i="20"/>
  <c r="C11" i="21" s="1"/>
  <c r="F32" i="20" l="1"/>
  <c r="F53" i="20"/>
  <c r="C9" i="21" s="1"/>
  <c r="C10" i="21"/>
  <c r="F102" i="20"/>
  <c r="C12" i="21" s="1"/>
  <c r="F23" i="20"/>
  <c r="F112" i="20"/>
  <c r="F113" i="20"/>
  <c r="F26" i="20" l="1"/>
  <c r="F39" i="20" l="1"/>
  <c r="C7" i="21" s="1"/>
  <c r="F107" i="20"/>
  <c r="F109" i="20" l="1"/>
  <c r="F108" i="20"/>
  <c r="F121" i="20"/>
  <c r="F122" i="20"/>
  <c r="F124" i="20" l="1"/>
  <c r="C14" i="21" s="1"/>
  <c r="F115" i="20"/>
  <c r="C13" i="21" s="1"/>
  <c r="C18" i="21" l="1"/>
  <c r="C19" i="21" s="1"/>
  <c r="C21" i="21" s="1"/>
</calcChain>
</file>

<file path=xl/sharedStrings.xml><?xml version="1.0" encoding="utf-8"?>
<sst xmlns="http://schemas.openxmlformats.org/spreadsheetml/2006/main" count="401" uniqueCount="305">
  <si>
    <t>ITEM</t>
  </si>
  <si>
    <t>DESCRIPTION</t>
  </si>
  <si>
    <t>UNIT</t>
  </si>
  <si>
    <t>QUANTITY</t>
  </si>
  <si>
    <t>RATE</t>
  </si>
  <si>
    <t>m²</t>
  </si>
  <si>
    <t>REINFORCED CONCRETE</t>
  </si>
  <si>
    <t>ml</t>
  </si>
  <si>
    <t>REINFORCEMENT BARS</t>
  </si>
  <si>
    <t>kg</t>
  </si>
  <si>
    <t>SUB TOTAL CONCRETE WORK ETH BIRR</t>
  </si>
  <si>
    <t>SUMMARY OF PRICES</t>
  </si>
  <si>
    <t>Birr</t>
  </si>
  <si>
    <t>SUB TOTAL MASONRY WORK ETH BIRR</t>
  </si>
  <si>
    <t>02</t>
  </si>
  <si>
    <t>03</t>
  </si>
  <si>
    <t>CONCRETE WORKS</t>
  </si>
  <si>
    <t>Cast in Place Concrete</t>
  </si>
  <si>
    <t xml:space="preserve">Rebar Diameter 8mm
</t>
  </si>
  <si>
    <t>CONCRETE ANCILLARIES</t>
  </si>
  <si>
    <t>EXPANSION JOINTS</t>
  </si>
  <si>
    <t>04</t>
  </si>
  <si>
    <t>MASONRY</t>
  </si>
  <si>
    <t>HOLLOW &amp; SOLID CONCRETE BLOCKS</t>
  </si>
  <si>
    <t>05</t>
  </si>
  <si>
    <t>METAL WORK</t>
  </si>
  <si>
    <t>No</t>
  </si>
  <si>
    <t>Lm</t>
  </si>
  <si>
    <t>SUB TOTAL METAL WORK ETH BIRR</t>
  </si>
  <si>
    <t>WALL AND FLOOR FINISHINGS</t>
  </si>
  <si>
    <t>PLASTERING &amp; POINTING</t>
  </si>
  <si>
    <t xml:space="preserve">Finishing work includes all surface pre cleaning, removal of mortar by chiseling, making good edges of columns and beams, preparation of grooves b/n surface where ever indicated, preparation and application of finish, polishing and cleaning after end of work.
</t>
  </si>
  <si>
    <t>Wall and floor finish</t>
  </si>
  <si>
    <t>SUB TOTAL FINISHING WORK ETH BIRR</t>
  </si>
  <si>
    <t>PAINTING</t>
  </si>
  <si>
    <t>SUB TOTAL PAINTING WORK ETH BIRR</t>
  </si>
  <si>
    <t>Bm 3</t>
  </si>
  <si>
    <t>BM 2</t>
  </si>
  <si>
    <t>Bm A</t>
  </si>
  <si>
    <t>BM B</t>
  </si>
  <si>
    <t>BM C</t>
  </si>
  <si>
    <t>BM D</t>
  </si>
  <si>
    <t>MB H</t>
  </si>
  <si>
    <t>BM F</t>
  </si>
  <si>
    <t>BM E</t>
  </si>
  <si>
    <t>BM G</t>
  </si>
  <si>
    <t>BM 1</t>
  </si>
  <si>
    <t>BM 4</t>
  </si>
  <si>
    <t>BM 3</t>
  </si>
  <si>
    <t>BM H</t>
  </si>
  <si>
    <t>BM 1 Arc</t>
  </si>
  <si>
    <t>BM 4 arc</t>
  </si>
  <si>
    <t>BM I'</t>
  </si>
  <si>
    <t>at elev 3, 8, 12</t>
  </si>
  <si>
    <t>BM E&amp;F</t>
  </si>
  <si>
    <t>BM A</t>
  </si>
  <si>
    <t>BM 1&amp;2 Arc</t>
  </si>
  <si>
    <t>TYP</t>
  </si>
  <si>
    <t>BM F&amp;G</t>
  </si>
  <si>
    <t>BM C&amp;I'</t>
  </si>
  <si>
    <t>Total</t>
  </si>
  <si>
    <t>CARPENTRY &amp; JOINERY</t>
  </si>
  <si>
    <t>SUB TOTAL CARPENTRY AND JOINERY WORK ETH BIRR</t>
  </si>
  <si>
    <t>Aluminum doors, windows and curtain walls</t>
  </si>
  <si>
    <t>Aluminum Window</t>
  </si>
  <si>
    <t xml:space="preserve">Apply  three coats of approved quality plastic paint. Price shall include pre-cleaning and preparation of surfaces.
</t>
  </si>
  <si>
    <r>
      <t>m</t>
    </r>
    <r>
      <rPr>
        <vertAlign val="superscript"/>
        <sz val="11"/>
        <rFont val="Calibri"/>
        <family val="2"/>
        <scheme val="minor"/>
      </rPr>
      <t>2</t>
    </r>
  </si>
  <si>
    <r>
      <rPr>
        <b/>
        <sz val="11"/>
        <rFont val="Calibri"/>
        <family val="2"/>
        <scheme val="minor"/>
      </rPr>
      <t>Standards</t>
    </r>
    <r>
      <rPr>
        <sz val="11"/>
        <rFont val="Calibri"/>
        <family val="2"/>
        <scheme val="minor"/>
      </rPr>
      <t xml:space="preserve">
Comply with the following standard.
Hot dip galvanized coating on iron and steel articles BS 729
Anodic oxidation coating on Aluminum BS 1615
Anodic oxide coating on Aluminum for external architectural application BS 3987
Wrought steel for mechanical &amp; allied engineering purposes BS 970
</t>
    </r>
  </si>
  <si>
    <t xml:space="preserve">Hollow block - (CLASS B, Average strength of 6 Blocks 35kg/cm2, Minimum strength of Individual Block 32kg/cm2
</t>
  </si>
  <si>
    <t>SERVICE SUM</t>
  </si>
  <si>
    <t xml:space="preserve">Rebar Diameter 6mm
</t>
  </si>
  <si>
    <t>Carpentry and Ceiling Works</t>
  </si>
  <si>
    <t xml:space="preserve">200mm thick class 'B' H.C.B wall bedded and jointed in cement mortar (1:3) both side left for appropriate finishing.
</t>
  </si>
  <si>
    <t xml:space="preserve">150mm thick class 'B' H.C.B wall bedded and jointed in cement mortar (1:3) both side left for appropriate finishing.
</t>
  </si>
  <si>
    <t>15% VAT</t>
  </si>
  <si>
    <t>GRAND TOTAL</t>
  </si>
  <si>
    <r>
      <rPr>
        <b/>
        <sz val="18"/>
        <color indexed="8"/>
        <rFont val="Cambria"/>
        <family val="1"/>
        <scheme val="major"/>
      </rPr>
      <t>02.</t>
    </r>
    <r>
      <rPr>
        <sz val="18"/>
        <color indexed="8"/>
        <rFont val="Cambria"/>
        <family val="1"/>
        <scheme val="major"/>
      </rPr>
      <t xml:space="preserve">  CONCRETE WORK</t>
    </r>
  </si>
  <si>
    <r>
      <rPr>
        <b/>
        <sz val="18"/>
        <color indexed="8"/>
        <rFont val="Cambria"/>
        <family val="1"/>
        <scheme val="major"/>
      </rPr>
      <t>03.</t>
    </r>
    <r>
      <rPr>
        <sz val="18"/>
        <color indexed="8"/>
        <rFont val="Cambria"/>
        <family val="1"/>
        <scheme val="major"/>
      </rPr>
      <t xml:space="preserve">  MASONRY WORKS</t>
    </r>
  </si>
  <si>
    <r>
      <rPr>
        <b/>
        <sz val="18"/>
        <color indexed="8"/>
        <rFont val="Cambria"/>
        <family val="1"/>
        <scheme val="major"/>
      </rPr>
      <t>05.</t>
    </r>
    <r>
      <rPr>
        <sz val="18"/>
        <color indexed="8"/>
        <rFont val="Cambria"/>
        <family val="1"/>
        <scheme val="major"/>
      </rPr>
      <t xml:space="preserve"> CARPENTERY AND JOINERY</t>
    </r>
  </si>
  <si>
    <r>
      <rPr>
        <b/>
        <sz val="18"/>
        <color indexed="8"/>
        <rFont val="Cambria"/>
        <family val="1"/>
        <scheme val="major"/>
      </rPr>
      <t>06</t>
    </r>
    <r>
      <rPr>
        <sz val="18"/>
        <color indexed="8"/>
        <rFont val="Cambria"/>
        <family val="1"/>
        <scheme val="major"/>
      </rPr>
      <t>. METAL WORKS</t>
    </r>
  </si>
  <si>
    <t>01</t>
  </si>
  <si>
    <t>50mm thick C-5 lean concrete with minimum cement content of 150kg/m3 of concrete under</t>
  </si>
  <si>
    <r>
      <t xml:space="preserve">REINFORCED CONCRETE GRADE C-25 (25 MPa) </t>
    </r>
    <r>
      <rPr>
        <sz val="11"/>
        <rFont val="Calibri"/>
        <family val="2"/>
        <scheme val="minor"/>
      </rPr>
      <t>cast into formworks and vibrated around rod reinforcement bars.</t>
    </r>
    <r>
      <rPr>
        <b/>
        <sz val="11"/>
        <rFont val="Calibri"/>
        <family val="2"/>
        <scheme val="minor"/>
      </rPr>
      <t xml:space="preserve">
NB</t>
    </r>
    <r>
      <rPr>
        <sz val="11"/>
        <rFont val="Calibri"/>
        <family val="2"/>
        <scheme val="minor"/>
      </rPr>
      <t>: Form work and reinforcement steel will measured elsewhere.</t>
    </r>
    <r>
      <rPr>
        <b/>
        <sz val="11"/>
        <rFont val="Calibri"/>
        <family val="2"/>
        <scheme val="minor"/>
      </rPr>
      <t xml:space="preserve">
</t>
    </r>
  </si>
  <si>
    <r>
      <t>m</t>
    </r>
    <r>
      <rPr>
        <sz val="11"/>
        <rFont val="Calibri"/>
        <family val="2"/>
      </rPr>
      <t>²</t>
    </r>
  </si>
  <si>
    <t xml:space="preserve">Expansion joints shall be formed between the concrete faces, or between concrete, by means of incorporating in the formwork an approved impregnated Chipwood/fiberboard or other filler to the thickness of 20mm.
The Exposed edges of expansion joints shall be sealed. Filler boards shall be adequately wound into adjoining concrete to prevent their falling out when the joint opens.
In-situ ground slabs laid on ground floor shall be cast in bays 6m x 6m (36m2 in area). The layout of construction joints in the slab shall be approved in advance
</t>
  </si>
  <si>
    <t>3.2</t>
  </si>
  <si>
    <t>3.2.1</t>
  </si>
  <si>
    <t>5.1</t>
  </si>
  <si>
    <t>5.1.1</t>
  </si>
  <si>
    <t xml:space="preserve">Aluminum windows and doors made of extruded profiles of 6060 standard of UNI3569 HB65 norms dimensional tolerance and thickness of the aluminum to be of UNI3879 norm spacer for the glazing and panels with average from 10 - 42mm. Aluminum profile shall be of Approved color with brushed finish cut and assembled to the sizes and shapes shown on the schedule of windows and doors. Manufacturing of the door and windows subject to approval of shop drawings to be provided by the Contractor.  Price shall include 6mm thick nonreflective tinted glass, approved type of locks, necessary  door stopper,  and handle. All shall be according to the detail drawing. Hinges, Locks, Profiles and all important accessory samples should approved by the architect. 
</t>
  </si>
  <si>
    <t>Aluminum Doors</t>
  </si>
  <si>
    <t>6.1</t>
  </si>
  <si>
    <t>6.1.1</t>
  </si>
  <si>
    <t>6.1.2</t>
  </si>
  <si>
    <r>
      <rPr>
        <b/>
        <sz val="11"/>
        <rFont val="Calibri"/>
        <family val="2"/>
        <scheme val="minor"/>
      </rPr>
      <t xml:space="preserve">Cement Mortar Plaster to External wall: </t>
    </r>
    <r>
      <rPr>
        <sz val="11"/>
        <rFont val="Calibri"/>
        <family val="2"/>
        <scheme val="minor"/>
      </rPr>
      <t xml:space="preserve">Plaster shall be applied in three coats of mortar with a ratio of 1:3. 
The final coat of cement plaster to be applied on two coat plaster shall consist of one part of cement to two parts of fine aggregate complying to BS 1199 by volume applied by trowel to a maximum thickness of 3mm. The surface shall be finished truly level and smooth. This coat shall be cured by watering for a minimum of seven days and allowed to cure for at least 28 days before further finish is applied on it.
</t>
    </r>
  </si>
  <si>
    <t xml:space="preserve">  STEEL WORK</t>
  </si>
  <si>
    <t>The following shall be provided as required for the satisfactory completion of the works.
   * Structural steel profiles, welding consumables, bolts, nuts and washer and Grouting concrete.
   * Labor for fabrication, assembly and erection.
    * Equipment, tools, scaffolding necessary for fabrication, assembly and erection.</t>
  </si>
  <si>
    <r>
      <rPr>
        <b/>
        <sz val="11"/>
        <rFont val="Calibri"/>
        <family val="2"/>
        <scheme val="minor"/>
      </rPr>
      <t>STANDARDS</t>
    </r>
    <r>
      <rPr>
        <sz val="11"/>
        <rFont val="Calibri"/>
        <family val="2"/>
        <scheme val="minor"/>
      </rPr>
      <t xml:space="preserve">
Comply with the following standards, or equivalent: -
   * Welded cold-formed steel Structure hollow sections BS 6363
   * Weldable structure steels BS 4360
   * Structural use of steel in buildings BS 5950
   * Electrodes for manual metal arc welding BS 639
   * Black hexagonal bolts, screws and nuts BS 4190
  * Metal arc welding of carbon and carbon manganese steels BS 4620</t>
    </r>
  </si>
  <si>
    <r>
      <rPr>
        <b/>
        <sz val="11"/>
        <rFont val="Calibri"/>
        <family val="2"/>
        <scheme val="minor"/>
      </rPr>
      <t>TESTS</t>
    </r>
    <r>
      <rPr>
        <sz val="11"/>
        <rFont val="Calibri"/>
        <family val="2"/>
        <scheme val="minor"/>
      </rPr>
      <t xml:space="preserve">
Tests to verify the grade and mechanical properties of the structural steel and welding of fabricated steel shall be carried out if required by the Engineer.
Test samples shall be those randomly selected by the Engineer.
The specific requirements of testing as detailed in BS 4360 shall be followed, to the extent determined by the Engineer.</t>
    </r>
  </si>
  <si>
    <t>Truss Structure</t>
  </si>
  <si>
    <t>Truss, T1</t>
  </si>
  <si>
    <t>Truss, T2</t>
  </si>
  <si>
    <t>Pcs</t>
  </si>
  <si>
    <t xml:space="preserve">Metal plates </t>
  </si>
  <si>
    <t>SUB TOTAL FOR STRUCTURAL STEEL WORK ETH BIRR</t>
  </si>
  <si>
    <t>RHS 60*60*2.5mm for Vertical and Diagonal truss members</t>
  </si>
  <si>
    <t>RHS 25*25*2mm for Vertical and Diagonal Purlin members</t>
  </si>
  <si>
    <t>7.2.1</t>
  </si>
  <si>
    <t>7.2.2</t>
  </si>
  <si>
    <t xml:space="preserve"> ELECTRICAL INSTALLATION</t>
  </si>
  <si>
    <t xml:space="preserve"> </t>
  </si>
  <si>
    <r>
      <t>Flush mounted light points fed through PVC insulated conductors of 3x2.5mm</t>
    </r>
    <r>
      <rPr>
        <vertAlign val="superscript"/>
        <sz val="11"/>
        <rFont val="Calibri"/>
        <family val="2"/>
        <scheme val="minor"/>
      </rPr>
      <t>2</t>
    </r>
    <r>
      <rPr>
        <sz val="11"/>
        <rFont val="Calibri"/>
        <family val="2"/>
        <scheme val="minor"/>
      </rPr>
      <t xml:space="preserve"> inside PVC conduits of 16mm diameter, including junction boxes with covers and insulating screw cap connectors, complete
</t>
    </r>
  </si>
  <si>
    <t xml:space="preserve">Flush mounting single switch </t>
  </si>
  <si>
    <t>Flush mounting double switch</t>
  </si>
  <si>
    <t>NO</t>
  </si>
  <si>
    <t>Total Carried to Summary</t>
  </si>
  <si>
    <r>
      <t>16A/1P socket outlet points fed through PVC insulated conductors of 3x2.5mm</t>
    </r>
    <r>
      <rPr>
        <vertAlign val="superscript"/>
        <sz val="11"/>
        <rFont val="Calibri"/>
        <family val="2"/>
        <scheme val="minor"/>
      </rPr>
      <t>2</t>
    </r>
    <r>
      <rPr>
        <sz val="11"/>
        <rFont val="Calibri"/>
        <family val="2"/>
        <scheme val="minor"/>
      </rPr>
      <t xml:space="preserve"> inside PVC conduit of 16mm diameter including junction boxes with covers and insulating screw cap connectors.</t>
    </r>
  </si>
  <si>
    <t>Flush mounting socket outlet of 16A 1Phase.</t>
  </si>
  <si>
    <r>
      <rPr>
        <b/>
        <sz val="18"/>
        <color indexed="8"/>
        <rFont val="Cambria"/>
        <family val="1"/>
        <scheme val="major"/>
      </rPr>
      <t>04.</t>
    </r>
    <r>
      <rPr>
        <sz val="18"/>
        <color indexed="8"/>
        <rFont val="Cambria"/>
        <family val="1"/>
        <scheme val="major"/>
      </rPr>
      <t xml:space="preserve">  ROOFING</t>
    </r>
  </si>
  <si>
    <r>
      <rPr>
        <b/>
        <sz val="18"/>
        <color indexed="8"/>
        <rFont val="Cambria"/>
        <family val="1"/>
        <scheme val="major"/>
      </rPr>
      <t>07.</t>
    </r>
    <r>
      <rPr>
        <sz val="18"/>
        <color indexed="8"/>
        <rFont val="Cambria"/>
        <family val="1"/>
        <scheme val="major"/>
      </rPr>
      <t xml:space="preserve"> STEEL WORK</t>
    </r>
  </si>
  <si>
    <t>ROOF WORK</t>
  </si>
  <si>
    <t>SUB TOTAL ROOF WORK ETH BIRR</t>
  </si>
  <si>
    <r>
      <rPr>
        <b/>
        <sz val="18"/>
        <color indexed="8"/>
        <rFont val="Cambria"/>
        <family val="1"/>
        <scheme val="major"/>
      </rPr>
      <t>08.</t>
    </r>
    <r>
      <rPr>
        <sz val="18"/>
        <color indexed="8"/>
        <rFont val="Cambria"/>
        <family val="1"/>
        <scheme val="major"/>
      </rPr>
      <t xml:space="preserve"> WALL AND FLOOR FINISHING</t>
    </r>
  </si>
  <si>
    <r>
      <rPr>
        <b/>
        <sz val="18"/>
        <color indexed="8"/>
        <rFont val="Cambria"/>
        <family val="1"/>
        <scheme val="major"/>
      </rPr>
      <t>09</t>
    </r>
    <r>
      <rPr>
        <sz val="18"/>
        <color indexed="8"/>
        <rFont val="Cambria"/>
        <family val="1"/>
        <scheme val="major"/>
      </rPr>
      <t>. PAINTING</t>
    </r>
  </si>
  <si>
    <t>DOCTORS WITH AFRICA- CUAMM</t>
  </si>
  <si>
    <t>RHS 80*80*3.5mm for Horizontal truss member</t>
  </si>
  <si>
    <t>1.1</t>
  </si>
  <si>
    <t>1.1.1</t>
  </si>
  <si>
    <t>1.1.2</t>
  </si>
  <si>
    <t>2.1</t>
  </si>
  <si>
    <t>2.1.1</t>
  </si>
  <si>
    <t>2.1.1.1</t>
  </si>
  <si>
    <t>2.1.2</t>
  </si>
  <si>
    <t>2.1.2.1</t>
  </si>
  <si>
    <t>2.1.2.1.1</t>
  </si>
  <si>
    <t>2.2</t>
  </si>
  <si>
    <t>2.2.1</t>
  </si>
  <si>
    <t>2.2.1.1</t>
  </si>
  <si>
    <t>3.2.1.1</t>
  </si>
  <si>
    <t>3.2.1.2</t>
  </si>
  <si>
    <t>06</t>
  </si>
  <si>
    <t>6.1.1.1</t>
  </si>
  <si>
    <t>6.1.1.2</t>
  </si>
  <si>
    <t>6.1.2.1</t>
  </si>
  <si>
    <t>6.1.2.2</t>
  </si>
  <si>
    <t>6.1.2.3</t>
  </si>
  <si>
    <t>6.1.2.4</t>
  </si>
  <si>
    <t>07</t>
  </si>
  <si>
    <t>7.3.1</t>
  </si>
  <si>
    <r>
      <rPr>
        <b/>
        <sz val="12"/>
        <rFont val="Calibri"/>
        <family val="2"/>
        <scheme val="minor"/>
      </rPr>
      <t>Gusset Plate - (850mm x 320mm x 300mm) - Trapezoidal shaped</t>
    </r>
    <r>
      <rPr>
        <sz val="11"/>
        <rFont val="Calibri"/>
        <family val="2"/>
        <scheme val="minor"/>
      </rPr>
      <t xml:space="preserve">
The cost shall include Cutting the plate to size, welding to truss and plate, Painting antirust and placing in place as shown in the drawing.
</t>
    </r>
  </si>
  <si>
    <t>08</t>
  </si>
  <si>
    <t>8.1</t>
  </si>
  <si>
    <t>8.1.1</t>
  </si>
  <si>
    <t>8.1.2</t>
  </si>
  <si>
    <t>8.1.3</t>
  </si>
  <si>
    <t>8.2</t>
  </si>
  <si>
    <t>8.2.1</t>
  </si>
  <si>
    <t>09</t>
  </si>
  <si>
    <t>9.1</t>
  </si>
  <si>
    <t>9.1.1</t>
  </si>
  <si>
    <t>9.1.2</t>
  </si>
  <si>
    <t xml:space="preserve">To external wall surface.
</t>
  </si>
  <si>
    <t xml:space="preserve"> Light Points</t>
  </si>
  <si>
    <t>Flush Mounted Socket Outlet Points</t>
  </si>
  <si>
    <t xml:space="preserve">Flush Mounted Socket Outlets with Earth Contact </t>
  </si>
  <si>
    <t>Lighting fitting</t>
  </si>
  <si>
    <t>SPECIFICATIONS AND BILL OF QUANTITIES WITH ENGINEERING ESTIMATE</t>
  </si>
  <si>
    <t>PROJECT:</t>
  </si>
  <si>
    <t>LOCATION:</t>
  </si>
  <si>
    <t xml:space="preserve">Prepared by:- Solomon Tesfay  </t>
  </si>
  <si>
    <t>WOLISSO, ETHIOPIA</t>
  </si>
  <si>
    <t>OWNER:</t>
  </si>
  <si>
    <t>Preamble to the Bill of Quantities</t>
  </si>
  <si>
    <t>1.   The Bill of Quantities shall be read in conjunction with the Drawings and Technical Specifications.</t>
  </si>
  <si>
    <t>2.   The Bill of Quantities contains the following part Bills and Schedules:</t>
  </si>
  <si>
    <t>a.   Bill No. 1 – Ataye Damaged Block</t>
  </si>
  <si>
    <t>3. The Quantities given in the Bill of Quantities are estimated and provisional, and are given to provide a common basis for bidding. The estimated contract quantity of each item of works will be set at the time of contract signing. In addition to this the basis of payment will be the actual quantities of work ordered and carried out, as measured by the Contractor and verified by the Engineer and valued at the rates and prices bid in the priced Bill of Quantities, where applicable, and otherwise at such rates and prices as the Engineer may fix within the terms of the Contract.</t>
  </si>
  <si>
    <t>4.  The rates and prices bid in the priced Bill of Quantities shall, except insofar as it is otherwise provided under the Contract, include all Constructional Plant, Labor, supervision, materials, erection, maintenance, insurance, profit, taxes, and duties, together with all general risks, liabilities, and obligations set out or implied in the Contract.</t>
  </si>
  <si>
    <t>5. A rate or price shall be entered against each item in the priced Bill of Quantities, whether quantities are stated or not. The cost of Items against which the Contractor has failed to enter a rate or price shall be deemed to be covered by other rates and prices entered in the Bill of Quantities.</t>
  </si>
  <si>
    <t>6. The rates in this Bill of quantities shall consider all incidental works required to protect existing structures.</t>
  </si>
  <si>
    <t>7. Items associated with a priced item necessary for its satisfactory fixing shall be considered as included in the rate of the item.</t>
  </si>
  <si>
    <t>8. The rates given for Provisional Quantities (PQ) will be binding if the client decides to incorporate these works as additional works.</t>
  </si>
  <si>
    <t>9. The whole cost of complying with the provisions of the Contract shall be included in the Items provided in the priced Bill of Quantities, and where no Items are provided, the cost shall be deemed to be distributed among the rates and prices entered for the related Items of Work.</t>
  </si>
  <si>
    <t>10. The Overhead &amp; risk and the gross profit for variation orders will be 35% .</t>
  </si>
  <si>
    <t>11. General directions and descriptions of work and materials are not necessarily repeated nor summarized in the Bill of Quantities. References to the relevant sections of the contract documentation shall be made before entering prices against each item in the priced Bill of Quantities.</t>
  </si>
  <si>
    <t>12. The method of measurement of completed work for payment shall be in accordance with Standard Methods of Measurement ECPN-4.</t>
  </si>
  <si>
    <t>13. The Bill of Quantities contains items</t>
  </si>
  <si>
    <t>a.   Supplied and installed by the Prime contractor</t>
  </si>
  <si>
    <t>b.   Provisional Quantities Supplied and installed by the Prime contractor</t>
  </si>
  <si>
    <t>c.   Provisional Sum Items supplied by the Client  and installed by the Prime Contractor</t>
  </si>
  <si>
    <t>d.  Provisional Sum Items Supplied and installed by Nominated Sub-contractor</t>
  </si>
  <si>
    <t>14. Provisional Sums included and so designated in the Bill of Quantities shall be expended in whole or in part at the direction and discretion of the Engineer.</t>
  </si>
  <si>
    <r>
      <rPr>
        <sz val="12"/>
        <rFont val="Garamond"/>
        <family val="1"/>
      </rPr>
      <t>15. The duties and responsibilities of the Prime Contractor for items 13(b), 13(c) and 13 (d) above are deemed to be covered by the Contractor’s charge indicated in here. The duties and responsibilities of the Prime Contractor in addition to those indicated in the Bill of Quantities are:-</t>
    </r>
  </si>
  <si>
    <t>a.   Handle and store materials at site both for prime contractor, the Client and nominated sub-contractor works.</t>
  </si>
  <si>
    <t>b. Provide utilities like power, water and other necessary utilities for use by the Client and nominated sub-contractors.</t>
  </si>
  <si>
    <t>c. Provide within the site transport and lifting equipment for all loading and unloading purposes and all required transportation within the site as required by the Client and nominated sub-contractors.</t>
  </si>
  <si>
    <t>d.  Provide scaffolding, ladder, etc as needed</t>
  </si>
  <si>
    <t>e. Execute any incidental works, like concrete work, earthwork, finishing, patching, and chiseling as required by the Client and nominated sub- contractors.</t>
  </si>
  <si>
    <t>f.   Removal of debris and clean the site at completion</t>
  </si>
  <si>
    <t>16. Errors will be corrected by the Employer for any arithmetic errors in computation or summation as follows:</t>
  </si>
  <si>
    <t>(a) where there is discrepancy between amounts in figures and in words, the amount in words will govern</t>
  </si>
  <si>
    <t>(b) where there is a discrepancy between the unit rate and the total amount derived from the multiplication of the unit price and the quantity, the unit rate as quoted will govern.</t>
  </si>
  <si>
    <t>17. Rock is defined as all materials which, in the opinion of the Engineer, require blasting, or the use of metal wedges and sledgehammers, or the use of compressed air drilling for their removal, and which cannot be extracted by ripping with a tractor of at least 150 brake hp with a single, rear-mounted, heavy-duty ripper.</t>
  </si>
  <si>
    <t>18. A type of bonding agent used for bonding old concrete to newly fresh one should get approval before application and the cost in connection with the bonding old concrete to newly fresh one shall be born by the Contractor.</t>
  </si>
  <si>
    <t>19. All provision for sanitary pipe passage, Electrical and Sanitary ducts and provision of sleeves will have to be done during concrete works as per the Electrical and Sanitary drawings and they are deemed to be included in the other rates and prices entered in the Bill of Quantities.</t>
  </si>
  <si>
    <t>20. The Contractor is responsible for the detail assessment of the Site conditions and any measure to be taken is included in the rates.</t>
  </si>
  <si>
    <t>21. The removal of Surplus excavated material shall be to an appropriate place away from the construction site. The contractor shall also make arrangement to damp this surplus excavated material to the owner place by the Direction of the Resident Engineer.</t>
  </si>
  <si>
    <r>
      <t>22. The Contractor shall submit catalogues with full description for Items under all Divisions which include, but are not limited to: Finishing Materials, Electrical, Sanitary fittings &amp; Equipments and shall get approval by the Engineer before purchasing or ordering</t>
    </r>
    <r>
      <rPr>
        <sz val="12"/>
        <color rgb="FFFF0000"/>
        <rFont val="Garamond"/>
        <family val="1"/>
      </rPr>
      <t>.</t>
    </r>
  </si>
  <si>
    <t>23. All Electrical and Sanitary works /installation/ shall be done by experienced staff or specialized sub-contractor or personnel who have a minimum of eight years experience with similar works &amp; this has to be approved by the Engineer based on their CVs &amp; educational background and certification and recommendation and/or supervision by suppliers.</t>
  </si>
  <si>
    <t>24. All Electrical and Sanitary works shall be tested &amp; commissioned prior to filling chiseled cavities, installing ceilings, covering vertical &amp; horizontal ducts &amp; back filling trenches. The Contractor shall be fully responsible for all systems.</t>
  </si>
  <si>
    <t>25. The Prime contractor shall submit samples of all finishing materials installed by himself and by nominated sub-contractors for approval by the Engineer and the Employer.</t>
  </si>
  <si>
    <r>
      <t xml:space="preserve">Cast in place concrete is concrete premixed at a batching plant and transported to the work site or concrete whose ingredients are transported to the site and mixed just before casting in place.
Provide cement, aggregate, water admixture, labor equipment and tools for cast in place concrete as required for the satisfactory installation of the works.
Quality Assurance
</t>
    </r>
    <r>
      <rPr>
        <b/>
        <sz val="11"/>
        <rFont val="Calibri"/>
        <family val="2"/>
        <scheme val="minor"/>
      </rPr>
      <t>031 Standards</t>
    </r>
    <r>
      <rPr>
        <sz val="11"/>
        <rFont val="Calibri"/>
        <family val="2"/>
        <scheme val="minor"/>
      </rPr>
      <t xml:space="preserve">
Comply with the following standards.
ES C. D5 201General Requirement, Portland cement,
ES C. D8 490Methods of Sampling and testing Portland cement, ESI
ES C. D3 201Normal Concrete aggregate, ESI
ASTM C260 Air-entraining admixtures,
ASTM C494  Water-reducing, retarding and accelerating admixtures.
ASTM C94Mixing water for concrete.
ASTM C330 Light weight aggregate for structural concrete
</t>
    </r>
  </si>
  <si>
    <t>Supply and fix G-28 galvanized flat metal sheet gutter as per the detail drawing. price shall include all the necessary accessories, metal bracket, one coats of antirust .Development length =100cm</t>
  </si>
  <si>
    <t xml:space="preserve">Lattice Purlins: </t>
  </si>
  <si>
    <t xml:space="preserve">* The contractor is responsible for covering any costs incurred due to damage of utility lines and care shall be taken for all existing utilities that could be covered or exposed to view throughout the project execution period.
</t>
  </si>
  <si>
    <r>
      <rPr>
        <b/>
        <sz val="11"/>
        <rFont val="Calibri"/>
        <family val="2"/>
        <scheme val="minor"/>
      </rPr>
      <t xml:space="preserve">Gypsum Plaster (plaster of Paris) to internal wall: </t>
    </r>
    <r>
      <rPr>
        <sz val="11"/>
        <rFont val="Calibri"/>
        <family val="2"/>
        <scheme val="minor"/>
      </rPr>
      <t xml:space="preserve">Plaster shall be applied in one coat of 3mm thick gypsum : 
The final fine coat gypsum plaster to be applied by trowel shall consist of one part of gypsum to three parts of lime putty, applied to a thickness of 3mm. The plaster shall be finished truly level and smooth. The plaster shall be allowed to cure. No finish shall be applied to gypsum plaster before the age of 28 days.
</t>
    </r>
  </si>
  <si>
    <r>
      <rPr>
        <b/>
        <sz val="11"/>
        <rFont val="Calibri"/>
        <family val="2"/>
        <scheme val="minor"/>
      </rPr>
      <t>Cement Mortar Plastering to internal wall. plas</t>
    </r>
    <r>
      <rPr>
        <sz val="11"/>
        <rFont val="Calibri"/>
        <family val="2"/>
        <scheme val="minor"/>
      </rPr>
      <t xml:space="preserve">ter shall be applied in two coats of mortar with the following ratio: 
First coat:  1 Part cement to 2.5 parts aggregate by volume.
Second Coat: 1 Part of cement to 3 parts of aggregate by volume.
The work includes chiseling for vertical concrete wall, columns and vertical beams.
</t>
    </r>
  </si>
  <si>
    <t>Supply, Connect and test including lamps and complete accessories, all as specified or described in lighting fittings schedule and as shown on the drawings.</t>
  </si>
  <si>
    <t xml:space="preserve">  36w, 60x60 LED Box panel Light for Class rooms</t>
  </si>
  <si>
    <t>WOLISSO ER and OPD BLOCK</t>
  </si>
  <si>
    <t>Consultant's estimation for the realization of the civil works is 3 months</t>
  </si>
  <si>
    <t>BILL OF QUANTITY - Wolisso ER and OPD Block</t>
  </si>
  <si>
    <t>DEMOLISHING WORKS</t>
  </si>
  <si>
    <t>DEMOLISHING WORKS OF DIFFERENT STRUCTURES</t>
  </si>
  <si>
    <t xml:space="preserve">Price shall include clearing the working area, disposing the debris to an appropriate location as per the Supervisor's indication
</t>
  </si>
  <si>
    <t xml:space="preserve">Demolishing of wooden wall
</t>
  </si>
  <si>
    <t xml:space="preserve">Demolishing of 20cm thick HCB wall
</t>
  </si>
  <si>
    <t>1.1.3</t>
  </si>
  <si>
    <t>1.1.4</t>
  </si>
  <si>
    <t>1.1.5</t>
  </si>
  <si>
    <t>1.1.6</t>
  </si>
  <si>
    <t xml:space="preserve">Demolishing of CIS roof
</t>
  </si>
  <si>
    <t xml:space="preserve">Dismantle the metal doors from the walls
</t>
  </si>
  <si>
    <t xml:space="preserve">Dismantle the metal windows from the walls
</t>
  </si>
  <si>
    <t>1.1.7</t>
  </si>
  <si>
    <t>1.1.8</t>
  </si>
  <si>
    <t xml:space="preserve">Aluminum door type D1, size 180*280cm
</t>
  </si>
  <si>
    <t xml:space="preserve">Aluminum door type D2, size 90*280cm
</t>
  </si>
  <si>
    <t xml:space="preserve">Aluminum door type D4, size 120*280cm
</t>
  </si>
  <si>
    <t xml:space="preserve">Aluminum door type D3, size 80*280cm
</t>
  </si>
  <si>
    <t xml:space="preserve">Aluminum Window Type W-1 size 150cm x 150cm
</t>
  </si>
  <si>
    <t xml:space="preserve">Aluminum Window Type W-2 size 140cm x 150cm
</t>
  </si>
  <si>
    <t xml:space="preserve">Aluminum Window Type W-4 size 100cm x 150cm
</t>
  </si>
  <si>
    <t xml:space="preserve">Aluminum Window Type W-5 size 335cm x 60cm
</t>
  </si>
  <si>
    <t xml:space="preserve">Aluminum Window Type W-6 size 265cm x 160cm
</t>
  </si>
  <si>
    <t xml:space="preserve">Aluminum Window Type W-7 size 335cm x 190cm
</t>
  </si>
  <si>
    <t xml:space="preserve">Aluminum Window Type W-8 size 315cm x 190cm
</t>
  </si>
  <si>
    <t xml:space="preserve">Aluminum Window Type W-9 size 180cm x 190cm
</t>
  </si>
  <si>
    <t xml:space="preserve">Aluminum Window Type W-10 size 200cm x 190cm
</t>
  </si>
  <si>
    <t xml:space="preserve">Aluminum Window Type W-11 size 250cm x 150cm
</t>
  </si>
  <si>
    <t>Under Verandah</t>
  </si>
  <si>
    <t xml:space="preserve">In Verandah
</t>
  </si>
  <si>
    <t xml:space="preserve">280x30mm throated and weathered Granite door and window sill bedded in cement mortar (1:3) mix. It shall be chamfered at the edge, provide water drip at bottom face of sill and 2% slope towards outside. All according to the Engineer's approval.
</t>
  </si>
  <si>
    <t>Extra Over Light Points for Flush Mounted Switches</t>
  </si>
  <si>
    <t xml:space="preserve">100mm thick class 'B' H.C.B wall bedded and jointed in cement mortar (1:3) both side left for appropriate finishing.
</t>
  </si>
  <si>
    <t>RHS 40*40*2.5mm for Vertical and Diagonal truss member</t>
  </si>
  <si>
    <t>RHS 40*40*2.5mm for Horizontal truss member</t>
  </si>
  <si>
    <t>RHS 30mm x 30mm x 2mm top and bottom Horizontal members</t>
  </si>
  <si>
    <t>Supply and Fix 1.5 - 3.0 mm thick Self-smoothing epoxy flooring with Premier and waring coarse. The substrate must be cleaned and freed of all contaminants such as dirt, oil, grease, coatings and surface treatments, etc. Weak concrete must be removed and surface defects such as blowholes and voids must be fully exposed. The concrete or screed substrate has to be primed or levelled in order to achieve an even surface. (ER area)</t>
  </si>
  <si>
    <t xml:space="preserve">Aluminum Window Type W-12 size 365cm x 150cm
</t>
  </si>
  <si>
    <t xml:space="preserve">To all internal walls 
</t>
  </si>
  <si>
    <t>SUB TOTAL DEMOLITION WORK ETH BIRR</t>
  </si>
  <si>
    <r>
      <rPr>
        <b/>
        <sz val="18"/>
        <color indexed="8"/>
        <rFont val="Cambria"/>
        <family val="1"/>
        <scheme val="major"/>
      </rPr>
      <t>01.</t>
    </r>
    <r>
      <rPr>
        <sz val="18"/>
        <color indexed="8"/>
        <rFont val="Cambria"/>
        <family val="1"/>
        <scheme val="major"/>
      </rPr>
      <t xml:space="preserve">  DEMOLITION WORK</t>
    </r>
  </si>
  <si>
    <r>
      <rPr>
        <b/>
        <sz val="18"/>
        <color indexed="8"/>
        <rFont val="Cambria"/>
        <family val="1"/>
        <scheme val="major"/>
      </rPr>
      <t>10</t>
    </r>
    <r>
      <rPr>
        <sz val="18"/>
        <color indexed="8"/>
        <rFont val="Cambria"/>
        <family val="1"/>
        <scheme val="major"/>
      </rPr>
      <t>. ELECTRICAL WORK</t>
    </r>
  </si>
  <si>
    <t>10.1.1</t>
  </si>
  <si>
    <t>10.2.1</t>
  </si>
  <si>
    <t>10.2.2</t>
  </si>
  <si>
    <t>10.3.1</t>
  </si>
  <si>
    <t>10.4.1</t>
  </si>
  <si>
    <t>10.5.1</t>
  </si>
  <si>
    <t>8.2.2</t>
  </si>
  <si>
    <t>2.1.2.2</t>
  </si>
  <si>
    <t>2.1.2.2.1</t>
  </si>
  <si>
    <t>2.1.2.2.2</t>
  </si>
  <si>
    <t>3.2.1.3</t>
  </si>
  <si>
    <t>6.1.1.3</t>
  </si>
  <si>
    <t>6.1.1.4</t>
  </si>
  <si>
    <t>6.1.2.5</t>
  </si>
  <si>
    <t>6.1.2.6</t>
  </si>
  <si>
    <t>6.1.2.7</t>
  </si>
  <si>
    <t>6.1.2.8</t>
  </si>
  <si>
    <t>6.1.2.9</t>
  </si>
  <si>
    <t>6.1.2.10</t>
  </si>
  <si>
    <t>6.1.2.11</t>
  </si>
  <si>
    <t>6.1.2.12</t>
  </si>
  <si>
    <t>7.1.1</t>
  </si>
  <si>
    <t>7.1.1.1</t>
  </si>
  <si>
    <t>7.1.1.2</t>
  </si>
  <si>
    <t>7.1.2</t>
  </si>
  <si>
    <t>7.1.2.1</t>
  </si>
  <si>
    <t>7.1.2.2</t>
  </si>
  <si>
    <t xml:space="preserve">Demolishing of Eucalyptus Upper, Lower and diagonal chords
</t>
  </si>
  <si>
    <t xml:space="preserve">Demolishing of 7x5cm zigba purlin
</t>
  </si>
  <si>
    <t>Reinforcement work shall be understood as the supply and fixing of reinforcement bars, including ties and chairs.
The steel bars shall be high tensile (Grade S-420) hot rolled deformed Reinforcement Steel bar</t>
  </si>
  <si>
    <t xml:space="preserve">Supply and fix 8mm thick and 100mm deep Chipwood/styrophom expansion joint filler b/n grade beam &amp; ground floor slab. Price shall include all the necessary sealants and wear protection coats with all incidental works.
</t>
  </si>
  <si>
    <t>Supply and fix roof cover in precoated or galvanized EGA 400,0.4mm thick fixed to steel lattice purlin. Price shall include ridge cap, Dia 6mm fixing J-bolts and water proof washers.(purlin measured in horizontal projection)</t>
  </si>
  <si>
    <t xml:space="preserve">Aluminum Window Type W-3 size 130cm x 150cm
</t>
  </si>
  <si>
    <t xml:space="preserve">Dismantling Chipwood Ceiling (will be reused afterwards)
</t>
  </si>
  <si>
    <t xml:space="preserve">Supply and fix 8 mm thick chip wood ceilings as per the Engineer's approval. Price shall include (40x50)mm wooden battens with c/c spacing of 600 mm both ways, middle and corner list, and all other necessary accessories. DAMAGED PARTS and PARTS OF THE VERANDAH </t>
  </si>
  <si>
    <t>MECHANICAL INSTALLATION</t>
  </si>
  <si>
    <r>
      <rPr>
        <b/>
        <sz val="18"/>
        <color indexed="8"/>
        <rFont val="Cambria"/>
        <family val="1"/>
        <scheme val="major"/>
      </rPr>
      <t>11</t>
    </r>
    <r>
      <rPr>
        <sz val="18"/>
        <color indexed="8"/>
        <rFont val="Cambria"/>
        <family val="1"/>
        <scheme val="major"/>
      </rPr>
      <t>. MECHANICAL WORK</t>
    </r>
  </si>
  <si>
    <t>11.1.1</t>
  </si>
  <si>
    <t>Medical Gas Pipelines</t>
  </si>
  <si>
    <t>set</t>
  </si>
  <si>
    <t xml:space="preserve">Relocate and reposition all medical gas pipelines according to to the drawings. All pipes must be cleaned and degreased for oxygen service and be free of particulate matter and toxic residues in accordance with BSEN13348:2008.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</si>
</sst>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General_)"/>
    <numFmt numFmtId="166" formatCode="&quot;$&quot;#,##0;[Red]\-&quot;$&quot;#,##0"/>
    <numFmt numFmtId="167" formatCode="_(* #,##0_);_(* \(#,##0\);_(* &quot;-&quot;??_);_(@_)"/>
    <numFmt numFmtId="168" formatCode="&quot; &quot;#,##0.00&quot; &quot;;&quot; (&quot;#,##0.00&quot;)&quot;;&quot; -&quot;00&quot; &quot;;&quot; &quot;@&quot; &quot;"/>
  </numFmts>
  <fonts count="33">
    <font>
      <sz val="11"/>
      <color theme="1"/>
      <name val="Calibri"/>
      <family val="2"/>
      <scheme val="minor"/>
    </font>
    <font>
      <sz val="11"/>
      <color theme="1"/>
      <name val="Calibri"/>
      <family val="2"/>
      <scheme val="minor"/>
    </font>
    <font>
      <sz val="10"/>
      <name val="Arial"/>
      <family val="2"/>
    </font>
    <font>
      <b/>
      <sz val="18"/>
      <color theme="1"/>
      <name val="Tw Cen MT"/>
      <family val="2"/>
    </font>
    <font>
      <sz val="18"/>
      <color theme="1"/>
      <name val="Tw Cen MT"/>
      <family val="2"/>
    </font>
    <font>
      <sz val="10"/>
      <name val="Stylus BT"/>
      <family val="2"/>
    </font>
    <font>
      <b/>
      <sz val="12"/>
      <name val="Calibri"/>
      <family val="2"/>
      <scheme val="minor"/>
    </font>
    <font>
      <sz val="11"/>
      <name val="Calibri"/>
      <family val="2"/>
      <scheme val="minor"/>
    </font>
    <font>
      <b/>
      <sz val="18"/>
      <color theme="1"/>
      <name val="Cambria"/>
      <family val="1"/>
      <scheme val="major"/>
    </font>
    <font>
      <sz val="18"/>
      <color theme="1"/>
      <name val="Cambria"/>
      <family val="1"/>
      <scheme val="major"/>
    </font>
    <font>
      <sz val="18"/>
      <color indexed="8"/>
      <name val="Cambria"/>
      <family val="1"/>
      <scheme val="major"/>
    </font>
    <font>
      <b/>
      <sz val="18"/>
      <color indexed="8"/>
      <name val="Cambria"/>
      <family val="1"/>
      <scheme val="major"/>
    </font>
    <font>
      <b/>
      <sz val="11"/>
      <name val="Calibri"/>
      <family val="2"/>
      <scheme val="minor"/>
    </font>
    <font>
      <vertAlign val="superscript"/>
      <sz val="11"/>
      <name val="Calibri"/>
      <family val="2"/>
      <scheme val="minor"/>
    </font>
    <font>
      <b/>
      <u val="doubleAccounting"/>
      <sz val="11"/>
      <name val="Calibri"/>
      <family val="2"/>
      <scheme val="minor"/>
    </font>
    <font>
      <sz val="11"/>
      <name val="Calibri"/>
      <family val="2"/>
    </font>
    <font>
      <b/>
      <sz val="11"/>
      <color theme="1"/>
      <name val="Calibri"/>
      <family val="2"/>
      <scheme val="minor"/>
    </font>
    <font>
      <sz val="8"/>
      <name val="Calibri"/>
      <family val="2"/>
      <scheme val="minor"/>
    </font>
    <font>
      <sz val="11"/>
      <color rgb="FFFF0000"/>
      <name val="Calibri"/>
      <family val="2"/>
      <scheme val="minor"/>
    </font>
    <font>
      <sz val="11"/>
      <color rgb="FF000000"/>
      <name val="Calibri"/>
      <family val="2"/>
    </font>
    <font>
      <sz val="11"/>
      <color theme="1"/>
      <name val="Calibri"/>
      <family val="2"/>
      <charset val="1"/>
      <scheme val="minor"/>
    </font>
    <font>
      <b/>
      <sz val="20"/>
      <name val="Garamond"/>
      <family val="1"/>
    </font>
    <font>
      <b/>
      <sz val="12"/>
      <name val="Garamond"/>
      <family val="1"/>
    </font>
    <font>
      <sz val="10"/>
      <name val="Garamond"/>
      <family val="1"/>
    </font>
    <font>
      <sz val="12"/>
      <name val="Garamond"/>
      <family val="1"/>
    </font>
    <font>
      <sz val="11"/>
      <name val="Garamond"/>
      <family val="1"/>
    </font>
    <font>
      <sz val="20"/>
      <name val="Garamond"/>
      <family val="1"/>
    </font>
    <font>
      <b/>
      <sz val="12"/>
      <color theme="1"/>
      <name val="Garamond"/>
      <family val="1"/>
    </font>
    <font>
      <b/>
      <sz val="11"/>
      <name val="Garamond"/>
      <family val="1"/>
    </font>
    <font>
      <b/>
      <sz val="14"/>
      <name val="Garamond"/>
      <family val="1"/>
    </font>
    <font>
      <sz val="10"/>
      <color rgb="FF000000"/>
      <name val="Times New Roman"/>
      <family val="1"/>
    </font>
    <font>
      <sz val="12"/>
      <color rgb="FF000000"/>
      <name val="Garamond"/>
      <family val="1"/>
    </font>
    <font>
      <sz val="12"/>
      <color rgb="FFFF0000"/>
      <name val="Garamond"/>
      <family val="1"/>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medium">
        <color indexed="64"/>
      </left>
      <right/>
      <top/>
      <bottom style="hair">
        <color indexed="64"/>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auto="1"/>
      </left>
      <right style="medium">
        <color auto="1"/>
      </right>
      <top/>
      <bottom style="hair">
        <color indexed="64"/>
      </bottom>
      <diagonal/>
    </border>
    <border>
      <left style="medium">
        <color auto="1"/>
      </left>
      <right style="medium">
        <color auto="1"/>
      </right>
      <top style="hair">
        <color indexed="64"/>
      </top>
      <bottom style="hair">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medium">
        <color auto="1"/>
      </left>
      <right style="medium">
        <color auto="1"/>
      </right>
      <top style="hair">
        <color indexed="64"/>
      </top>
      <bottom style="double">
        <color indexed="64"/>
      </bottom>
      <diagonal/>
    </border>
    <border>
      <left/>
      <right/>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auto="1"/>
      </left>
      <right style="medium">
        <color auto="1"/>
      </right>
      <top style="hair">
        <color auto="1"/>
      </top>
      <bottom/>
      <diagonal/>
    </border>
    <border>
      <left style="medium">
        <color indexed="64"/>
      </left>
      <right/>
      <top style="hair">
        <color indexed="64"/>
      </top>
      <bottom/>
      <diagonal/>
    </border>
    <border>
      <left style="medium">
        <color indexed="64"/>
      </left>
      <right style="medium">
        <color auto="1"/>
      </right>
      <top style="medium">
        <color indexed="64"/>
      </top>
      <bottom style="hair">
        <color indexed="64"/>
      </bottom>
      <diagonal/>
    </border>
    <border>
      <left style="medium">
        <color auto="1"/>
      </left>
      <right style="medium">
        <color auto="1"/>
      </right>
      <top style="medium">
        <color indexed="64"/>
      </top>
      <bottom/>
      <diagonal/>
    </border>
    <border>
      <left style="medium">
        <color indexed="64"/>
      </left>
      <right/>
      <top style="medium">
        <color indexed="64"/>
      </top>
      <bottom style="hair">
        <color indexed="64"/>
      </bottom>
      <diagonal/>
    </border>
    <border>
      <left style="thick">
        <color auto="1"/>
      </left>
      <right/>
      <top style="thick">
        <color auto="1"/>
      </top>
      <bottom/>
      <diagonal/>
    </border>
    <border>
      <left/>
      <right/>
      <top style="thick">
        <color indexed="64"/>
      </top>
      <bottom/>
      <diagonal/>
    </border>
    <border>
      <left/>
      <right style="thick">
        <color auto="1"/>
      </right>
      <top style="thick">
        <color auto="1"/>
      </top>
      <bottom/>
      <diagonal/>
    </border>
    <border>
      <left style="thick">
        <color indexed="64"/>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style="medium">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style="hair">
        <color auto="1"/>
      </left>
      <right/>
      <top style="hair">
        <color auto="1"/>
      </top>
      <bottom style="medium">
        <color indexed="64"/>
      </bottom>
      <diagonal/>
    </border>
    <border>
      <left style="medium">
        <color indexed="64"/>
      </left>
      <right/>
      <top style="hair">
        <color indexed="64"/>
      </top>
      <bottom style="medium">
        <color indexed="64"/>
      </bottom>
      <diagonal/>
    </border>
  </borders>
  <cellStyleXfs count="63">
    <xf numFmtId="0" fontId="0" fillId="0" borderId="0"/>
    <xf numFmtId="164" fontId="1"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5" fillId="0" borderId="0"/>
    <xf numFmtId="0" fontId="1" fillId="0" borderId="0"/>
    <xf numFmtId="0" fontId="19" fillId="0" borderId="0"/>
    <xf numFmtId="0" fontId="1" fillId="0" borderId="0"/>
    <xf numFmtId="168" fontId="19"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0" fillId="0" borderId="0"/>
    <xf numFmtId="164" fontId="2" fillId="0" borderId="0" applyFont="0" applyFill="0" applyBorder="0" applyAlignment="0" applyProtection="0"/>
    <xf numFmtId="0" fontId="30" fillId="0" borderId="0"/>
  </cellStyleXfs>
  <cellXfs count="270">
    <xf numFmtId="0" fontId="0" fillId="0" borderId="0" xfId="0"/>
    <xf numFmtId="0" fontId="4" fillId="0" borderId="0" xfId="8" applyFont="1"/>
    <xf numFmtId="49" fontId="7" fillId="0" borderId="8" xfId="0" applyNumberFormat="1" applyFont="1" applyBorder="1" applyAlignment="1">
      <alignment horizontal="left" vertical="top"/>
    </xf>
    <xf numFmtId="165" fontId="7" fillId="0" borderId="8" xfId="0" applyNumberFormat="1" applyFont="1" applyBorder="1" applyAlignment="1">
      <alignment horizontal="center"/>
    </xf>
    <xf numFmtId="49" fontId="7" fillId="0" borderId="8" xfId="0" applyNumberFormat="1" applyFont="1" applyBorder="1" applyAlignment="1">
      <alignment horizontal="left" vertical="top" wrapText="1"/>
    </xf>
    <xf numFmtId="165" fontId="7" fillId="0" borderId="8" xfId="0" applyNumberFormat="1" applyFont="1" applyBorder="1" applyAlignment="1">
      <alignment horizontal="center" wrapText="1"/>
    </xf>
    <xf numFmtId="0" fontId="7" fillId="0" borderId="8" xfId="0" applyFont="1" applyBorder="1" applyAlignment="1">
      <alignment horizontal="center" wrapText="1"/>
    </xf>
    <xf numFmtId="164" fontId="7" fillId="0" borderId="8" xfId="1" applyFont="1" applyFill="1" applyBorder="1" applyAlignment="1">
      <alignment wrapText="1"/>
    </xf>
    <xf numFmtId="0" fontId="10" fillId="0" borderId="9" xfId="8" applyFont="1" applyBorder="1"/>
    <xf numFmtId="0" fontId="8" fillId="0" borderId="10" xfId="8" applyFont="1" applyBorder="1" applyAlignment="1">
      <alignment horizontal="center"/>
    </xf>
    <xf numFmtId="164" fontId="9" fillId="0" borderId="16" xfId="1" applyFont="1" applyBorder="1" applyAlignment="1"/>
    <xf numFmtId="0" fontId="10" fillId="0" borderId="11" xfId="8" applyFont="1" applyBorder="1"/>
    <xf numFmtId="0" fontId="8" fillId="0" borderId="12" xfId="8" applyFont="1" applyBorder="1" applyAlignment="1">
      <alignment horizontal="center"/>
    </xf>
    <xf numFmtId="164" fontId="9" fillId="0" borderId="17" xfId="1" applyFont="1" applyBorder="1" applyAlignment="1"/>
    <xf numFmtId="0" fontId="10" fillId="0" borderId="13" xfId="8" applyFont="1" applyBorder="1"/>
    <xf numFmtId="0" fontId="8" fillId="0" borderId="0" xfId="8" applyFont="1" applyAlignment="1">
      <alignment horizontal="right"/>
    </xf>
    <xf numFmtId="0" fontId="8" fillId="0" borderId="18" xfId="8" applyFont="1" applyBorder="1" applyAlignment="1">
      <alignment horizontal="center"/>
    </xf>
    <xf numFmtId="164" fontId="8" fillId="0" borderId="19" xfId="1" applyFont="1" applyFill="1" applyBorder="1" applyAlignment="1"/>
    <xf numFmtId="0" fontId="7" fillId="0" borderId="0" xfId="0" applyFont="1"/>
    <xf numFmtId="164" fontId="7" fillId="0" borderId="0" xfId="1" applyFont="1" applyFill="1" applyBorder="1" applyAlignment="1"/>
    <xf numFmtId="0" fontId="0" fillId="2" borderId="0" xfId="0" applyFill="1"/>
    <xf numFmtId="164" fontId="7" fillId="0" borderId="8" xfId="1" applyFont="1" applyFill="1" applyBorder="1" applyAlignment="1"/>
    <xf numFmtId="0" fontId="3" fillId="0" borderId="0" xfId="8" applyFont="1" applyAlignment="1">
      <alignment horizontal="center"/>
    </xf>
    <xf numFmtId="0" fontId="7" fillId="0" borderId="20" xfId="0" applyFont="1" applyBorder="1" applyAlignment="1">
      <alignment horizontal="left" vertical="center"/>
    </xf>
    <xf numFmtId="0" fontId="7" fillId="0" borderId="2" xfId="0" applyFont="1" applyBorder="1" applyAlignment="1">
      <alignment horizontal="left" vertical="center"/>
    </xf>
    <xf numFmtId="164" fontId="7" fillId="0" borderId="8" xfId="1" applyFont="1" applyFill="1" applyBorder="1" applyAlignment="1" applyProtection="1"/>
    <xf numFmtId="49" fontId="12" fillId="3" borderId="4" xfId="0" applyNumberFormat="1" applyFont="1" applyFill="1" applyBorder="1" applyAlignment="1">
      <alignment horizontal="left" vertical="top" wrapText="1"/>
    </xf>
    <xf numFmtId="0" fontId="12" fillId="3" borderId="4" xfId="0" applyFont="1" applyFill="1" applyBorder="1" applyAlignment="1">
      <alignment horizontal="center" vertical="center" wrapText="1"/>
    </xf>
    <xf numFmtId="0" fontId="12" fillId="0" borderId="8" xfId="0" applyFont="1" applyBorder="1" applyAlignment="1">
      <alignment horizontal="left" vertical="center"/>
    </xf>
    <xf numFmtId="165" fontId="7" fillId="0" borderId="8" xfId="0" applyNumberFormat="1" applyFont="1" applyBorder="1" applyAlignment="1">
      <alignment horizontal="left"/>
    </xf>
    <xf numFmtId="164" fontId="12" fillId="0" borderId="8" xfId="1" applyFont="1" applyFill="1" applyBorder="1" applyAlignment="1" applyProtection="1"/>
    <xf numFmtId="164" fontId="12" fillId="0" borderId="8" xfId="1" applyFont="1" applyFill="1" applyBorder="1" applyAlignment="1">
      <alignment horizontal="left"/>
    </xf>
    <xf numFmtId="0" fontId="12" fillId="0" borderId="0" xfId="0" applyFont="1" applyAlignment="1">
      <alignment horizontal="left"/>
    </xf>
    <xf numFmtId="165" fontId="7" fillId="0" borderId="7" xfId="0" applyNumberFormat="1" applyFont="1" applyBorder="1" applyAlignment="1">
      <alignment horizontal="left"/>
    </xf>
    <xf numFmtId="164" fontId="12" fillId="0" borderId="7" xfId="1" applyFont="1" applyFill="1" applyBorder="1" applyAlignment="1" applyProtection="1"/>
    <xf numFmtId="0" fontId="7" fillId="0" borderId="8" xfId="0" applyFont="1" applyBorder="1" applyAlignment="1">
      <alignment horizontal="left" wrapText="1" indent="3"/>
    </xf>
    <xf numFmtId="0" fontId="7" fillId="0" borderId="8" xfId="0" applyFont="1" applyBorder="1" applyAlignment="1">
      <alignment horizontal="left" wrapText="1"/>
    </xf>
    <xf numFmtId="164" fontId="7" fillId="0" borderId="8" xfId="1" applyFont="1" applyFill="1" applyBorder="1" applyAlignment="1" applyProtection="1">
      <alignment wrapText="1"/>
    </xf>
    <xf numFmtId="0" fontId="7" fillId="0" borderId="8" xfId="0" applyFont="1" applyBorder="1" applyAlignment="1">
      <alignment horizontal="left" vertical="top" wrapText="1"/>
    </xf>
    <xf numFmtId="0" fontId="7" fillId="0" borderId="8" xfId="0" applyFont="1" applyBorder="1" applyAlignment="1">
      <alignment horizontal="left" vertical="top" wrapText="1" indent="2"/>
    </xf>
    <xf numFmtId="0" fontId="12" fillId="0" borderId="14" xfId="0" applyFont="1" applyBorder="1" applyAlignment="1">
      <alignment horizontal="right" vertical="center"/>
    </xf>
    <xf numFmtId="165" fontId="7" fillId="0" borderId="14" xfId="0" applyNumberFormat="1" applyFont="1" applyBorder="1" applyAlignment="1">
      <alignment horizontal="left"/>
    </xf>
    <xf numFmtId="164" fontId="12" fillId="0" borderId="14" xfId="1" applyFont="1" applyFill="1" applyBorder="1" applyAlignment="1" applyProtection="1"/>
    <xf numFmtId="164" fontId="12" fillId="0" borderId="14" xfId="1" applyFont="1" applyFill="1" applyBorder="1" applyAlignment="1">
      <alignment horizontal="left"/>
    </xf>
    <xf numFmtId="0" fontId="7" fillId="0" borderId="8" xfId="5" applyFont="1" applyBorder="1" applyAlignment="1">
      <alignment horizontal="center" wrapText="1"/>
    </xf>
    <xf numFmtId="0" fontId="7" fillId="0" borderId="8" xfId="5" applyFont="1" applyBorder="1" applyAlignment="1">
      <alignment horizontal="left" wrapText="1"/>
    </xf>
    <xf numFmtId="0" fontId="7" fillId="0" borderId="8" xfId="0" applyFont="1" applyBorder="1" applyAlignment="1">
      <alignment wrapText="1"/>
    </xf>
    <xf numFmtId="165" fontId="12" fillId="0" borderId="8" xfId="0" applyNumberFormat="1" applyFont="1" applyBorder="1" applyAlignment="1">
      <alignment horizontal="right" vertical="center" wrapText="1"/>
    </xf>
    <xf numFmtId="164" fontId="14" fillId="0" borderId="7" xfId="1" applyFont="1" applyFill="1" applyBorder="1" applyAlignment="1">
      <alignment wrapText="1"/>
    </xf>
    <xf numFmtId="165" fontId="7" fillId="0" borderId="8" xfId="0" applyNumberFormat="1" applyFont="1" applyBorder="1" applyAlignment="1">
      <alignment horizontal="left" vertical="justify" wrapText="1"/>
    </xf>
    <xf numFmtId="0" fontId="12" fillId="0" borderId="8" xfId="0" applyFont="1" applyBorder="1" applyAlignment="1">
      <alignment horizontal="left" vertical="center" wrapText="1"/>
    </xf>
    <xf numFmtId="165" fontId="7" fillId="0" borderId="8" xfId="0" applyNumberFormat="1" applyFont="1" applyBorder="1" applyAlignment="1">
      <alignment horizontal="left" wrapText="1"/>
    </xf>
    <xf numFmtId="0" fontId="7" fillId="0" borderId="1" xfId="0" applyFont="1" applyBorder="1" applyAlignment="1">
      <alignment horizontal="left" vertical="center" wrapText="1"/>
    </xf>
    <xf numFmtId="0" fontId="12" fillId="0" borderId="1" xfId="0" applyFont="1" applyBorder="1" applyAlignment="1">
      <alignment horizontal="left" vertical="center" wrapText="1"/>
    </xf>
    <xf numFmtId="165" fontId="12" fillId="0" borderId="7" xfId="0" applyNumberFormat="1" applyFont="1" applyBorder="1" applyAlignment="1">
      <alignment horizontal="left"/>
    </xf>
    <xf numFmtId="164" fontId="7" fillId="0" borderId="7" xfId="1" applyFont="1" applyFill="1" applyBorder="1" applyAlignment="1" applyProtection="1"/>
    <xf numFmtId="0" fontId="7" fillId="0" borderId="0" xfId="0" applyFont="1" applyAlignment="1">
      <alignment horizontal="left"/>
    </xf>
    <xf numFmtId="164" fontId="4" fillId="0" borderId="0" xfId="8" applyNumberFormat="1" applyFont="1"/>
    <xf numFmtId="0" fontId="7" fillId="3" borderId="4" xfId="0" applyFont="1" applyFill="1" applyBorder="1" applyAlignment="1">
      <alignment horizontal="center" vertical="center" wrapText="1"/>
    </xf>
    <xf numFmtId="164" fontId="12" fillId="3" borderId="4" xfId="1" applyFont="1" applyFill="1" applyBorder="1" applyAlignment="1">
      <alignment horizontal="center" vertical="center" wrapText="1"/>
    </xf>
    <xf numFmtId="0" fontId="7" fillId="0" borderId="8" xfId="0" applyFont="1" applyBorder="1" applyAlignment="1">
      <alignment horizontal="center"/>
    </xf>
    <xf numFmtId="164" fontId="7" fillId="0" borderId="0" xfId="1" applyFont="1" applyFill="1" applyBorder="1"/>
    <xf numFmtId="0" fontId="7" fillId="0" borderId="3" xfId="0" applyFont="1" applyBorder="1" applyAlignment="1">
      <alignment wrapText="1"/>
    </xf>
    <xf numFmtId="0" fontId="7" fillId="0" borderId="0" xfId="0" applyFont="1" applyAlignment="1">
      <alignment horizontal="center"/>
    </xf>
    <xf numFmtId="49" fontId="7" fillId="0" borderId="20" xfId="0" quotePrefix="1" applyNumberFormat="1" applyFont="1" applyBorder="1" applyAlignment="1">
      <alignment horizontal="left" vertical="top"/>
    </xf>
    <xf numFmtId="164" fontId="7" fillId="0" borderId="20" xfId="1" applyFont="1" applyFill="1" applyBorder="1" applyAlignment="1">
      <alignment horizontal="left"/>
    </xf>
    <xf numFmtId="164" fontId="12" fillId="3" borderId="4" xfId="1" applyFont="1" applyFill="1" applyBorder="1" applyAlignment="1">
      <alignment vertical="center" wrapText="1"/>
    </xf>
    <xf numFmtId="0" fontId="16" fillId="0" borderId="0" xfId="0" applyFont="1"/>
    <xf numFmtId="0" fontId="1" fillId="0" borderId="0" xfId="0" applyFont="1"/>
    <xf numFmtId="164" fontId="4" fillId="0" borderId="0" xfId="1" applyFont="1"/>
    <xf numFmtId="49" fontId="17" fillId="0" borderId="8" xfId="0" applyNumberFormat="1" applyFont="1" applyBorder="1" applyAlignment="1">
      <alignment horizontal="left" vertical="top" wrapText="1"/>
    </xf>
    <xf numFmtId="0" fontId="17" fillId="0" borderId="8" xfId="0" applyFont="1" applyBorder="1" applyAlignment="1">
      <alignment vertical="top" wrapText="1"/>
    </xf>
    <xf numFmtId="0" fontId="17" fillId="0" borderId="8" xfId="0" applyFont="1" applyBorder="1" applyAlignment="1">
      <alignment horizontal="center"/>
    </xf>
    <xf numFmtId="164" fontId="17" fillId="0" borderId="8" xfId="1" applyFont="1" applyFill="1" applyBorder="1" applyAlignment="1"/>
    <xf numFmtId="164" fontId="17" fillId="0" borderId="8" xfId="1" applyFont="1" applyFill="1" applyBorder="1"/>
    <xf numFmtId="0" fontId="17" fillId="0" borderId="0" xfId="0" applyFont="1"/>
    <xf numFmtId="49" fontId="7" fillId="0" borderId="22" xfId="0" applyNumberFormat="1" applyFont="1" applyBorder="1" applyAlignment="1">
      <alignment horizontal="left" vertical="center"/>
    </xf>
    <xf numFmtId="165" fontId="12" fillId="0" borderId="23" xfId="0" applyNumberFormat="1" applyFont="1" applyBorder="1" applyAlignment="1">
      <alignment horizontal="center" vertical="center" wrapText="1"/>
    </xf>
    <xf numFmtId="165" fontId="7" fillId="0" borderId="22" xfId="0" applyNumberFormat="1" applyFont="1" applyBorder="1" applyAlignment="1">
      <alignment horizontal="center"/>
    </xf>
    <xf numFmtId="164" fontId="7" fillId="0" borderId="22" xfId="1" applyFont="1" applyFill="1" applyBorder="1" applyAlignment="1" applyProtection="1"/>
    <xf numFmtId="164" fontId="7" fillId="0" borderId="22" xfId="1" applyFont="1" applyFill="1" applyBorder="1" applyAlignment="1"/>
    <xf numFmtId="165" fontId="12" fillId="0" borderId="20" xfId="0" applyNumberFormat="1" applyFont="1" applyBorder="1" applyAlignment="1">
      <alignment horizontal="right" vertical="center" wrapText="1"/>
    </xf>
    <xf numFmtId="49" fontId="12" fillId="0" borderId="20" xfId="0" quotePrefix="1" applyNumberFormat="1" applyFont="1" applyBorder="1" applyAlignment="1">
      <alignment horizontal="left" vertical="top"/>
    </xf>
    <xf numFmtId="164" fontId="12" fillId="0" borderId="20" xfId="1" applyFont="1" applyFill="1" applyBorder="1" applyAlignment="1">
      <alignment horizontal="left"/>
    </xf>
    <xf numFmtId="0" fontId="12" fillId="0" borderId="8" xfId="0" applyFont="1" applyBorder="1" applyAlignment="1">
      <alignment horizontal="left" vertical="top" wrapText="1"/>
    </xf>
    <xf numFmtId="49" fontId="7" fillId="0" borderId="8" xfId="0" applyNumberFormat="1" applyFont="1" applyBorder="1" applyAlignment="1">
      <alignment horizontal="right" vertical="top" wrapText="1"/>
    </xf>
    <xf numFmtId="49" fontId="12" fillId="0" borderId="8" xfId="0" quotePrefix="1" applyNumberFormat="1" applyFont="1" applyBorder="1" applyAlignment="1">
      <alignment horizontal="center" vertical="top"/>
    </xf>
    <xf numFmtId="49" fontId="12" fillId="0" borderId="8" xfId="0" quotePrefix="1" applyNumberFormat="1" applyFont="1" applyBorder="1" applyAlignment="1">
      <alignment horizontal="right" vertical="top"/>
    </xf>
    <xf numFmtId="49" fontId="12" fillId="0" borderId="8" xfId="0" applyNumberFormat="1" applyFont="1" applyBorder="1" applyAlignment="1">
      <alignment horizontal="right" vertical="top" wrapText="1"/>
    </xf>
    <xf numFmtId="49" fontId="12" fillId="0" borderId="14" xfId="0" quotePrefix="1" applyNumberFormat="1" applyFont="1" applyBorder="1" applyAlignment="1">
      <alignment horizontal="right" vertical="top"/>
    </xf>
    <xf numFmtId="0" fontId="7" fillId="0" borderId="20" xfId="0" applyFont="1" applyBorder="1" applyAlignment="1">
      <alignment horizontal="right" vertical="center"/>
    </xf>
    <xf numFmtId="0" fontId="7" fillId="0" borderId="1" xfId="0" applyFont="1" applyBorder="1" applyAlignment="1">
      <alignment horizontal="left" vertical="top" wrapText="1"/>
    </xf>
    <xf numFmtId="49" fontId="7" fillId="0" borderId="20" xfId="0" quotePrefix="1" applyNumberFormat="1" applyFont="1" applyBorder="1" applyAlignment="1">
      <alignment horizontal="right" vertical="top"/>
    </xf>
    <xf numFmtId="49" fontId="12" fillId="0" borderId="20" xfId="0" quotePrefix="1" applyNumberFormat="1" applyFont="1" applyBorder="1" applyAlignment="1">
      <alignment horizontal="right" vertical="top"/>
    </xf>
    <xf numFmtId="0" fontId="7" fillId="0" borderId="8" xfId="0" applyFont="1" applyBorder="1" applyAlignment="1">
      <alignment vertical="top" wrapText="1"/>
    </xf>
    <xf numFmtId="0" fontId="18" fillId="0" borderId="0" xfId="0" applyFont="1"/>
    <xf numFmtId="0" fontId="7" fillId="0" borderId="0" xfId="8" applyFont="1"/>
    <xf numFmtId="0" fontId="7" fillId="0" borderId="3" xfId="0" applyFont="1" applyBorder="1" applyAlignment="1">
      <alignment vertical="top" wrapText="1"/>
    </xf>
    <xf numFmtId="49" fontId="12" fillId="0" borderId="8" xfId="0" quotePrefix="1" applyNumberFormat="1" applyFont="1" applyBorder="1" applyAlignment="1">
      <alignment horizontal="center" vertical="center"/>
    </xf>
    <xf numFmtId="49" fontId="7" fillId="0" borderId="8" xfId="0" applyNumberFormat="1" applyFont="1" applyBorder="1" applyAlignment="1">
      <alignment horizontal="right" vertical="top"/>
    </xf>
    <xf numFmtId="0" fontId="22" fillId="0" borderId="0" xfId="33" applyFont="1"/>
    <xf numFmtId="0" fontId="23" fillId="4" borderId="28" xfId="7" applyFont="1" applyFill="1" applyBorder="1"/>
    <xf numFmtId="0" fontId="23" fillId="4" borderId="0" xfId="7" applyFont="1" applyFill="1"/>
    <xf numFmtId="0" fontId="23" fillId="4" borderId="29" xfId="7" applyFont="1" applyFill="1" applyBorder="1"/>
    <xf numFmtId="0" fontId="24" fillId="4" borderId="30" xfId="7" applyFont="1" applyFill="1" applyBorder="1"/>
    <xf numFmtId="0" fontId="24" fillId="4" borderId="31" xfId="7" applyFont="1" applyFill="1" applyBorder="1"/>
    <xf numFmtId="0" fontId="24" fillId="4" borderId="32" xfId="7" applyFont="1" applyFill="1" applyBorder="1"/>
    <xf numFmtId="0" fontId="25" fillId="4" borderId="25" xfId="7" applyFont="1" applyFill="1" applyBorder="1"/>
    <xf numFmtId="0" fontId="25" fillId="4" borderId="26" xfId="7" applyFont="1" applyFill="1" applyBorder="1"/>
    <xf numFmtId="0" fontId="25" fillId="4" borderId="27" xfId="7" applyFont="1" applyFill="1" applyBorder="1"/>
    <xf numFmtId="0" fontId="25" fillId="4" borderId="30" xfId="7" applyFont="1" applyFill="1" applyBorder="1"/>
    <xf numFmtId="0" fontId="25" fillId="4" borderId="31" xfId="7" applyFont="1" applyFill="1" applyBorder="1"/>
    <xf numFmtId="0" fontId="25" fillId="4" borderId="32" xfId="7" applyFont="1" applyFill="1" applyBorder="1"/>
    <xf numFmtId="0" fontId="25" fillId="4" borderId="25" xfId="7" applyFont="1" applyFill="1" applyBorder="1" applyAlignment="1">
      <alignment horizontal="center"/>
    </xf>
    <xf numFmtId="0" fontId="25" fillId="4" borderId="26" xfId="7" applyFont="1" applyFill="1" applyBorder="1" applyAlignment="1">
      <alignment horizontal="center"/>
    </xf>
    <xf numFmtId="0" fontId="25" fillId="4" borderId="27" xfId="7" applyFont="1" applyFill="1" applyBorder="1" applyAlignment="1">
      <alignment horizontal="center"/>
    </xf>
    <xf numFmtId="0" fontId="27" fillId="0" borderId="0" xfId="33" applyFont="1"/>
    <xf numFmtId="0" fontId="25" fillId="4" borderId="30" xfId="7" applyFont="1" applyFill="1" applyBorder="1" applyAlignment="1">
      <alignment horizontal="center"/>
    </xf>
    <xf numFmtId="0" fontId="25" fillId="4" borderId="31" xfId="7" applyFont="1" applyFill="1" applyBorder="1" applyAlignment="1">
      <alignment horizontal="center"/>
    </xf>
    <xf numFmtId="0" fontId="25" fillId="4" borderId="32" xfId="7" applyFont="1" applyFill="1" applyBorder="1" applyAlignment="1">
      <alignment horizontal="center"/>
    </xf>
    <xf numFmtId="0" fontId="28" fillId="0" borderId="0" xfId="33" applyFont="1"/>
    <xf numFmtId="0" fontId="24" fillId="4" borderId="25" xfId="7" applyFont="1" applyFill="1" applyBorder="1" applyAlignment="1">
      <alignment horizontal="left"/>
    </xf>
    <xf numFmtId="0" fontId="24" fillId="4" borderId="26" xfId="7" applyFont="1" applyFill="1" applyBorder="1" applyAlignment="1">
      <alignment horizontal="left"/>
    </xf>
    <xf numFmtId="0" fontId="24" fillId="4" borderId="27" xfId="7" applyFont="1" applyFill="1" applyBorder="1" applyAlignment="1">
      <alignment horizontal="left"/>
    </xf>
    <xf numFmtId="0" fontId="23" fillId="4" borderId="28" xfId="7" applyFont="1" applyFill="1" applyBorder="1" applyAlignment="1">
      <alignment horizontal="left"/>
    </xf>
    <xf numFmtId="0" fontId="23" fillId="4" borderId="0" xfId="7" applyFont="1" applyFill="1" applyAlignment="1">
      <alignment horizontal="left"/>
    </xf>
    <xf numFmtId="0" fontId="23" fillId="4" borderId="29" xfId="7" applyFont="1" applyFill="1" applyBorder="1" applyAlignment="1">
      <alignment horizontal="left"/>
    </xf>
    <xf numFmtId="0" fontId="28" fillId="0" borderId="0" xfId="33" applyFont="1" applyAlignment="1">
      <alignment wrapText="1"/>
    </xf>
    <xf numFmtId="0" fontId="24" fillId="0" borderId="0" xfId="62" applyFont="1" applyAlignment="1">
      <alignment vertical="top" wrapText="1"/>
    </xf>
    <xf numFmtId="0" fontId="31" fillId="0" borderId="0" xfId="62" applyFont="1" applyAlignment="1">
      <alignment vertical="top"/>
    </xf>
    <xf numFmtId="0" fontId="22" fillId="0" borderId="0" xfId="62" applyFont="1" applyAlignment="1">
      <alignment vertical="top" wrapText="1"/>
    </xf>
    <xf numFmtId="0" fontId="31" fillId="0" borderId="0" xfId="62" applyFont="1" applyAlignment="1">
      <alignment vertical="top" wrapText="1"/>
    </xf>
    <xf numFmtId="0" fontId="12" fillId="0" borderId="20" xfId="0" applyFont="1" applyBorder="1" applyAlignment="1">
      <alignment horizontal="right" vertical="center"/>
    </xf>
    <xf numFmtId="165" fontId="7" fillId="0" borderId="20" xfId="0" applyNumberFormat="1" applyFont="1" applyBorder="1" applyAlignment="1">
      <alignment horizontal="left"/>
    </xf>
    <xf numFmtId="164" fontId="12" fillId="0" borderId="20" xfId="1" applyFont="1" applyFill="1" applyBorder="1" applyAlignment="1" applyProtection="1"/>
    <xf numFmtId="164" fontId="12" fillId="0" borderId="33" xfId="1" applyFont="1" applyFill="1" applyBorder="1" applyAlignment="1">
      <alignment horizontal="left"/>
    </xf>
    <xf numFmtId="49" fontId="12" fillId="0" borderId="22" xfId="0" quotePrefix="1" applyNumberFormat="1" applyFont="1" applyBorder="1" applyAlignment="1">
      <alignment horizontal="center" vertical="top"/>
    </xf>
    <xf numFmtId="0" fontId="7" fillId="0" borderId="8" xfId="0" applyFont="1" applyBorder="1" applyAlignment="1">
      <alignment horizontal="right" vertical="top"/>
    </xf>
    <xf numFmtId="0" fontId="12" fillId="0" borderId="8" xfId="0" quotePrefix="1" applyFont="1" applyBorder="1" applyAlignment="1">
      <alignment horizontal="right" vertical="top"/>
    </xf>
    <xf numFmtId="0" fontId="16" fillId="0" borderId="36" xfId="0" applyFont="1" applyBorder="1" applyAlignment="1">
      <alignment horizontal="right" vertical="top"/>
    </xf>
    <xf numFmtId="0" fontId="16" fillId="0" borderId="22" xfId="0" applyFont="1" applyBorder="1" applyAlignment="1">
      <alignment wrapText="1"/>
    </xf>
    <xf numFmtId="0" fontId="1" fillId="0" borderId="8" xfId="0" applyFont="1" applyBorder="1" applyAlignment="1">
      <alignment wrapText="1"/>
    </xf>
    <xf numFmtId="165" fontId="7" fillId="0" borderId="8" xfId="0" applyNumberFormat="1" applyFont="1" applyBorder="1" applyAlignment="1">
      <alignment vertical="justify" wrapText="1"/>
    </xf>
    <xf numFmtId="164" fontId="12" fillId="0" borderId="36" xfId="1" applyFont="1" applyFill="1" applyBorder="1" applyAlignment="1" applyProtection="1">
      <alignment horizontal="right" vertical="center"/>
    </xf>
    <xf numFmtId="0" fontId="1" fillId="0" borderId="22" xfId="0" applyFont="1" applyBorder="1"/>
    <xf numFmtId="0" fontId="7" fillId="0" borderId="8" xfId="5" applyFont="1" applyBorder="1" applyAlignment="1">
      <alignment horizontal="center"/>
    </xf>
    <xf numFmtId="0" fontId="1" fillId="0" borderId="36" xfId="0" applyFont="1" applyBorder="1"/>
    <xf numFmtId="164" fontId="16" fillId="0" borderId="22" xfId="1" applyFont="1" applyFill="1" applyBorder="1"/>
    <xf numFmtId="164" fontId="1" fillId="0" borderId="8" xfId="1" applyFont="1" applyFill="1" applyBorder="1" applyAlignment="1">
      <alignment horizontal="center"/>
    </xf>
    <xf numFmtId="164" fontId="16" fillId="0" borderId="36" xfId="1" applyFont="1" applyBorder="1"/>
    <xf numFmtId="49" fontId="7" fillId="0" borderId="36" xfId="0" applyNumberFormat="1" applyFont="1" applyBorder="1" applyAlignment="1">
      <alignment horizontal="left" vertical="center" wrapText="1"/>
    </xf>
    <xf numFmtId="165" fontId="12" fillId="0" borderId="37" xfId="0" applyNumberFormat="1" applyFont="1" applyBorder="1" applyAlignment="1">
      <alignment horizontal="right" wrapText="1"/>
    </xf>
    <xf numFmtId="0" fontId="7" fillId="0" borderId="36" xfId="0" applyFont="1" applyBorder="1" applyAlignment="1">
      <alignment horizontal="center" wrapText="1"/>
    </xf>
    <xf numFmtId="164" fontId="7" fillId="0" borderId="36" xfId="1" applyFont="1" applyFill="1" applyBorder="1" applyAlignment="1"/>
    <xf numFmtId="164" fontId="7" fillId="0" borderId="6" xfId="1" applyFont="1" applyFill="1" applyBorder="1" applyAlignment="1">
      <alignment wrapText="1"/>
    </xf>
    <xf numFmtId="0" fontId="12" fillId="0" borderId="22" xfId="0" applyFont="1" applyBorder="1" applyAlignment="1">
      <alignment horizontal="left" vertical="center"/>
    </xf>
    <xf numFmtId="165" fontId="7" fillId="0" borderId="22" xfId="0" applyNumberFormat="1" applyFont="1" applyBorder="1" applyAlignment="1">
      <alignment horizontal="left"/>
    </xf>
    <xf numFmtId="164" fontId="12" fillId="0" borderId="22" xfId="1" applyFont="1" applyFill="1" applyBorder="1" applyAlignment="1" applyProtection="1"/>
    <xf numFmtId="164" fontId="12" fillId="0" borderId="22" xfId="1" applyFont="1" applyFill="1" applyBorder="1" applyAlignment="1">
      <alignment horizontal="left"/>
    </xf>
    <xf numFmtId="49" fontId="12" fillId="0" borderId="36" xfId="0" quotePrefix="1" applyNumberFormat="1" applyFont="1" applyBorder="1" applyAlignment="1">
      <alignment horizontal="right" vertical="top"/>
    </xf>
    <xf numFmtId="0" fontId="12" fillId="0" borderId="36" xfId="0" applyFont="1" applyBorder="1" applyAlignment="1">
      <alignment horizontal="right" vertical="center"/>
    </xf>
    <xf numFmtId="165" fontId="7" fillId="0" borderId="36" xfId="0" applyNumberFormat="1" applyFont="1" applyBorder="1" applyAlignment="1">
      <alignment horizontal="left"/>
    </xf>
    <xf numFmtId="164" fontId="12" fillId="0" borderId="36" xfId="1" applyFont="1" applyFill="1" applyBorder="1" applyAlignment="1" applyProtection="1"/>
    <xf numFmtId="164" fontId="12" fillId="0" borderId="36" xfId="1" applyFont="1" applyFill="1" applyBorder="1" applyAlignment="1">
      <alignment horizontal="left"/>
    </xf>
    <xf numFmtId="49" fontId="7" fillId="0" borderId="22" xfId="0" applyNumberFormat="1" applyFont="1" applyBorder="1" applyAlignment="1">
      <alignment horizontal="left" vertical="top" wrapText="1"/>
    </xf>
    <xf numFmtId="165" fontId="12" fillId="0" borderId="23" xfId="0" applyNumberFormat="1" applyFont="1" applyBorder="1" applyAlignment="1">
      <alignment horizontal="right" vertical="center" wrapText="1"/>
    </xf>
    <xf numFmtId="0" fontId="7" fillId="0" borderId="22" xfId="5" applyFont="1" applyBorder="1" applyAlignment="1">
      <alignment horizontal="center" wrapText="1"/>
    </xf>
    <xf numFmtId="164" fontId="14" fillId="0" borderId="22" xfId="1" applyFont="1" applyFill="1" applyBorder="1" applyAlignment="1">
      <alignment wrapText="1"/>
    </xf>
    <xf numFmtId="0" fontId="12" fillId="0" borderId="22" xfId="8" applyFont="1" applyBorder="1" applyAlignment="1">
      <alignment horizontal="center" vertical="top"/>
    </xf>
    <xf numFmtId="0" fontId="7" fillId="0" borderId="8" xfId="8" applyFont="1" applyBorder="1" applyAlignment="1">
      <alignment horizontal="center" vertical="top"/>
    </xf>
    <xf numFmtId="0" fontId="12" fillId="0" borderId="8" xfId="29" applyFont="1" applyBorder="1" applyAlignment="1">
      <alignment horizontal="right" vertical="top"/>
    </xf>
    <xf numFmtId="0" fontId="7" fillId="0" borderId="8" xfId="8" applyFont="1" applyBorder="1" applyAlignment="1">
      <alignment horizontal="right" vertical="top" wrapText="1"/>
    </xf>
    <xf numFmtId="0" fontId="7" fillId="0" borderId="8" xfId="8" applyFont="1" applyBorder="1" applyAlignment="1">
      <alignment horizontal="center" vertical="top" wrapText="1"/>
    </xf>
    <xf numFmtId="0" fontId="12" fillId="0" borderId="8" xfId="8" applyFont="1" applyBorder="1" applyAlignment="1">
      <alignment horizontal="right" vertical="top" wrapText="1"/>
    </xf>
    <xf numFmtId="0" fontId="6" fillId="0" borderId="22" xfId="8" applyFont="1" applyBorder="1" applyAlignment="1">
      <alignment vertical="center" wrapText="1"/>
    </xf>
    <xf numFmtId="0" fontId="7" fillId="0" borderId="8" xfId="8" applyFont="1" applyBorder="1" applyAlignment="1">
      <alignment wrapText="1"/>
    </xf>
    <xf numFmtId="0" fontId="12" fillId="0" borderId="8" xfId="8" applyFont="1" applyBorder="1" applyAlignment="1">
      <alignment horizontal="left" wrapText="1"/>
    </xf>
    <xf numFmtId="0" fontId="7" fillId="0" borderId="8" xfId="8" applyFont="1" applyBorder="1" applyAlignment="1">
      <alignment horizontal="left" vertical="top" wrapText="1"/>
    </xf>
    <xf numFmtId="0" fontId="7" fillId="0" borderId="22" xfId="8" applyFont="1" applyBorder="1" applyAlignment="1">
      <alignment horizontal="center" vertical="center"/>
    </xf>
    <xf numFmtId="0" fontId="7" fillId="0" borderId="8" xfId="8" applyFont="1" applyBorder="1" applyAlignment="1">
      <alignment horizontal="center" vertical="center"/>
    </xf>
    <xf numFmtId="0" fontId="7" fillId="0" borderId="8" xfId="8" applyFont="1" applyBorder="1" applyAlignment="1">
      <alignment vertical="center" wrapText="1"/>
    </xf>
    <xf numFmtId="1" fontId="7" fillId="0" borderId="22" xfId="8" applyNumberFormat="1" applyFont="1" applyBorder="1" applyAlignment="1">
      <alignment horizontal="center" vertical="center"/>
    </xf>
    <xf numFmtId="167" fontId="7" fillId="0" borderId="8" xfId="55" applyNumberFormat="1" applyFont="1" applyBorder="1" applyAlignment="1">
      <alignment horizontal="center" vertical="center"/>
    </xf>
    <xf numFmtId="167" fontId="7" fillId="0" borderId="8" xfId="10" applyNumberFormat="1" applyFont="1" applyBorder="1" applyAlignment="1">
      <alignment horizontal="center" vertical="center"/>
    </xf>
    <xf numFmtId="164" fontId="7" fillId="0" borderId="8" xfId="55" applyFont="1" applyBorder="1" applyAlignment="1">
      <alignment horizontal="center" vertical="center"/>
    </xf>
    <xf numFmtId="164" fontId="7" fillId="0" borderId="8" xfId="10" applyFont="1" applyBorder="1" applyAlignment="1">
      <alignment horizontal="center" vertical="center"/>
    </xf>
    <xf numFmtId="164" fontId="7" fillId="0" borderId="8" xfId="10" applyFont="1" applyFill="1" applyBorder="1" applyAlignment="1">
      <alignment horizontal="center" vertical="center"/>
    </xf>
    <xf numFmtId="4" fontId="7" fillId="0" borderId="22" xfId="8" applyNumberFormat="1" applyFont="1" applyBorder="1" applyAlignment="1">
      <alignment horizontal="center" vertical="center"/>
    </xf>
    <xf numFmtId="164" fontId="12" fillId="0" borderId="36" xfId="10" applyFont="1" applyBorder="1" applyAlignment="1">
      <alignment horizontal="center" vertical="center"/>
    </xf>
    <xf numFmtId="167" fontId="7" fillId="0" borderId="36" xfId="10" applyNumberFormat="1" applyFont="1" applyBorder="1" applyAlignment="1">
      <alignment horizontal="center" vertical="center"/>
    </xf>
    <xf numFmtId="0" fontId="7" fillId="0" borderId="36" xfId="8" applyFont="1" applyBorder="1" applyAlignment="1">
      <alignment horizontal="center" vertical="center"/>
    </xf>
    <xf numFmtId="0" fontId="12" fillId="0" borderId="36" xfId="8" applyFont="1" applyBorder="1" applyAlignment="1">
      <alignment horizontal="right" vertical="top" wrapText="1"/>
    </xf>
    <xf numFmtId="0" fontId="7" fillId="0" borderId="36" xfId="8" applyFont="1" applyBorder="1" applyAlignment="1">
      <alignment horizontal="center" vertical="top" wrapText="1"/>
    </xf>
    <xf numFmtId="0" fontId="12" fillId="0" borderId="8" xfId="0" applyFont="1" applyBorder="1" applyAlignment="1">
      <alignment horizontal="right" vertical="top" wrapText="1"/>
    </xf>
    <xf numFmtId="165" fontId="12" fillId="0" borderId="8" xfId="0" applyNumberFormat="1" applyFont="1" applyBorder="1" applyAlignment="1">
      <alignment vertical="top" wrapText="1"/>
    </xf>
    <xf numFmtId="0" fontId="7" fillId="0" borderId="8" xfId="0" applyFont="1" applyBorder="1" applyAlignment="1">
      <alignment horizontal="right" vertical="top" wrapText="1"/>
    </xf>
    <xf numFmtId="165" fontId="7" fillId="0" borderId="8" xfId="0" applyNumberFormat="1" applyFont="1" applyBorder="1" applyAlignment="1">
      <alignment vertical="top" wrapText="1"/>
    </xf>
    <xf numFmtId="164" fontId="7" fillId="0" borderId="8" xfId="1" applyFont="1" applyFill="1" applyBorder="1" applyAlignment="1">
      <alignment horizontal="center"/>
    </xf>
    <xf numFmtId="0" fontId="12" fillId="0" borderId="8" xfId="5" applyFont="1" applyBorder="1" applyAlignment="1">
      <alignment horizontal="center" wrapText="1"/>
    </xf>
    <xf numFmtId="164" fontId="16" fillId="0" borderId="8" xfId="1" applyFont="1" applyFill="1" applyBorder="1" applyAlignment="1">
      <alignment horizontal="center"/>
    </xf>
    <xf numFmtId="164" fontId="12" fillId="0" borderId="8" xfId="1" applyFont="1" applyFill="1" applyBorder="1" applyAlignment="1">
      <alignment wrapText="1"/>
    </xf>
    <xf numFmtId="167" fontId="7" fillId="0" borderId="8" xfId="10" applyNumberFormat="1" applyFont="1" applyFill="1" applyBorder="1" applyAlignment="1">
      <alignment horizontal="center" vertical="center"/>
    </xf>
    <xf numFmtId="0" fontId="7" fillId="0" borderId="8" xfId="8" applyFont="1" applyBorder="1" applyAlignment="1">
      <alignment horizontal="center" vertical="center" wrapText="1"/>
    </xf>
    <xf numFmtId="49" fontId="7" fillId="0" borderId="20" xfId="0" applyNumberFormat="1" applyFont="1" applyBorder="1" applyAlignment="1">
      <alignment horizontal="right" vertical="top" wrapText="1"/>
    </xf>
    <xf numFmtId="165" fontId="7" fillId="0" borderId="20" xfId="0" applyNumberFormat="1" applyFont="1" applyBorder="1" applyAlignment="1">
      <alignment horizontal="center" wrapText="1"/>
    </xf>
    <xf numFmtId="164" fontId="7" fillId="0" borderId="20" xfId="1" applyFont="1" applyFill="1" applyBorder="1" applyAlignment="1" applyProtection="1">
      <alignment wrapText="1"/>
    </xf>
    <xf numFmtId="0" fontId="7" fillId="0" borderId="20" xfId="0" applyFont="1" applyBorder="1" applyAlignment="1">
      <alignment horizontal="left" vertical="top" wrapText="1"/>
    </xf>
    <xf numFmtId="164" fontId="7" fillId="0" borderId="20" xfId="1" applyFont="1" applyFill="1" applyBorder="1" applyAlignment="1">
      <alignment wrapText="1"/>
    </xf>
    <xf numFmtId="164" fontId="12" fillId="0" borderId="5" xfId="1" applyFont="1" applyBorder="1" applyAlignment="1"/>
    <xf numFmtId="164" fontId="12" fillId="0" borderId="5" xfId="1" applyFont="1" applyBorder="1" applyAlignment="1" applyProtection="1">
      <protection locked="0"/>
    </xf>
    <xf numFmtId="164" fontId="12" fillId="3" borderId="4" xfId="1" applyFont="1" applyFill="1" applyBorder="1" applyAlignment="1" applyProtection="1">
      <alignment horizontal="center" vertical="center" wrapText="1"/>
      <protection locked="0"/>
    </xf>
    <xf numFmtId="164" fontId="7" fillId="0" borderId="24" xfId="1" applyFont="1" applyFill="1" applyBorder="1" applyAlignment="1" applyProtection="1">
      <alignment horizontal="center"/>
      <protection locked="0"/>
    </xf>
    <xf numFmtId="164" fontId="12" fillId="0" borderId="8" xfId="1" applyFont="1" applyFill="1" applyBorder="1" applyAlignment="1" applyProtection="1">
      <alignment horizontal="left"/>
      <protection locked="0"/>
    </xf>
    <xf numFmtId="164" fontId="7" fillId="0" borderId="8" xfId="1" applyFont="1" applyFill="1" applyBorder="1" applyAlignment="1" applyProtection="1">
      <alignment horizontal="center"/>
      <protection locked="0"/>
    </xf>
    <xf numFmtId="164" fontId="7" fillId="0" borderId="8" xfId="1" applyFont="1" applyFill="1" applyBorder="1" applyAlignment="1" applyProtection="1">
      <alignment wrapText="1"/>
      <protection locked="0"/>
    </xf>
    <xf numFmtId="164" fontId="7" fillId="0" borderId="20" xfId="1" applyFont="1" applyFill="1" applyBorder="1" applyAlignment="1" applyProtection="1">
      <alignment wrapText="1"/>
      <protection locked="0"/>
    </xf>
    <xf numFmtId="164" fontId="12" fillId="0" borderId="36" xfId="1" applyFont="1" applyFill="1" applyBorder="1" applyAlignment="1" applyProtection="1">
      <alignment horizontal="left"/>
      <protection locked="0"/>
    </xf>
    <xf numFmtId="164" fontId="7" fillId="0" borderId="38" xfId="1" applyFont="1" applyFill="1" applyBorder="1" applyAlignment="1" applyProtection="1">
      <alignment wrapText="1"/>
      <protection locked="0"/>
    </xf>
    <xf numFmtId="164" fontId="12" fillId="0" borderId="22" xfId="1" applyFont="1" applyFill="1" applyBorder="1" applyAlignment="1" applyProtection="1">
      <alignment horizontal="left"/>
      <protection locked="0"/>
    </xf>
    <xf numFmtId="164" fontId="12" fillId="0" borderId="14" xfId="1" applyFont="1" applyFill="1" applyBorder="1" applyAlignment="1" applyProtection="1">
      <alignment horizontal="left"/>
      <protection locked="0"/>
    </xf>
    <xf numFmtId="164" fontId="7" fillId="0" borderId="3" xfId="1" applyFont="1" applyFill="1" applyBorder="1" applyAlignment="1" applyProtection="1">
      <alignment wrapText="1"/>
      <protection locked="0"/>
    </xf>
    <xf numFmtId="164" fontId="12" fillId="0" borderId="21" xfId="1" applyFont="1" applyFill="1" applyBorder="1" applyAlignment="1" applyProtection="1">
      <alignment horizontal="left"/>
      <protection locked="0"/>
    </xf>
    <xf numFmtId="164" fontId="7" fillId="0" borderId="21" xfId="1" applyFont="1" applyFill="1" applyBorder="1" applyAlignment="1" applyProtection="1">
      <alignment horizontal="left"/>
      <protection locked="0"/>
    </xf>
    <xf numFmtId="164" fontId="16" fillId="0" borderId="22" xfId="1" applyFont="1" applyFill="1" applyBorder="1" applyProtection="1">
      <protection locked="0"/>
    </xf>
    <xf numFmtId="164" fontId="7" fillId="0" borderId="8" xfId="1" applyFont="1" applyFill="1" applyBorder="1" applyAlignment="1" applyProtection="1">
      <protection locked="0"/>
    </xf>
    <xf numFmtId="164" fontId="12" fillId="0" borderId="8" xfId="1" applyFont="1" applyFill="1" applyBorder="1" applyAlignment="1" applyProtection="1">
      <alignment wrapText="1"/>
      <protection locked="0"/>
    </xf>
    <xf numFmtId="0" fontId="16" fillId="0" borderId="6" xfId="0" applyFont="1" applyBorder="1" applyProtection="1">
      <protection locked="0"/>
    </xf>
    <xf numFmtId="164" fontId="7" fillId="0" borderId="22" xfId="1" applyFont="1" applyFill="1" applyBorder="1" applyAlignment="1" applyProtection="1">
      <alignment wrapText="1"/>
      <protection locked="0"/>
    </xf>
    <xf numFmtId="164" fontId="17" fillId="0" borderId="3" xfId="1" applyFont="1" applyFill="1" applyBorder="1" applyAlignment="1" applyProtection="1">
      <alignment wrapText="1"/>
      <protection locked="0"/>
    </xf>
    <xf numFmtId="164" fontId="12" fillId="0" borderId="20" xfId="1" applyFont="1" applyFill="1" applyBorder="1" applyAlignment="1" applyProtection="1">
      <alignment horizontal="left"/>
      <protection locked="0"/>
    </xf>
    <xf numFmtId="164" fontId="7" fillId="0" borderId="22" xfId="55" applyFont="1" applyBorder="1" applyAlignment="1" applyProtection="1">
      <alignment horizontal="center" vertical="center"/>
      <protection locked="0"/>
    </xf>
    <xf numFmtId="164" fontId="7" fillId="0" borderId="8" xfId="55" applyFont="1" applyBorder="1" applyAlignment="1" applyProtection="1">
      <alignment horizontal="center" vertical="center"/>
      <protection locked="0"/>
    </xf>
    <xf numFmtId="164" fontId="7" fillId="0" borderId="8" xfId="10" applyFont="1" applyBorder="1" applyAlignment="1" applyProtection="1">
      <alignment horizontal="center" vertical="center"/>
      <protection locked="0"/>
    </xf>
    <xf numFmtId="164" fontId="7" fillId="0" borderId="8" xfId="10" applyFont="1" applyFill="1" applyBorder="1" applyAlignment="1" applyProtection="1">
      <alignment horizontal="center" vertical="center"/>
      <protection locked="0"/>
    </xf>
    <xf numFmtId="164" fontId="7" fillId="0" borderId="8" xfId="10" applyFont="1" applyBorder="1" applyAlignment="1" applyProtection="1">
      <alignment horizontal="center" vertical="center" wrapText="1"/>
      <protection locked="0"/>
    </xf>
    <xf numFmtId="164" fontId="7" fillId="0" borderId="36" xfId="10" applyFont="1" applyFill="1" applyBorder="1" applyAlignment="1" applyProtection="1">
      <alignment horizontal="center" vertical="center"/>
      <protection locked="0"/>
    </xf>
    <xf numFmtId="164" fontId="7" fillId="0" borderId="0" xfId="1" applyFont="1" applyFill="1" applyBorder="1" applyProtection="1">
      <protection locked="0"/>
    </xf>
    <xf numFmtId="0" fontId="25" fillId="4" borderId="25" xfId="7" applyFont="1" applyFill="1" applyBorder="1" applyAlignment="1">
      <alignment horizontal="center"/>
    </xf>
    <xf numFmtId="0" fontId="25" fillId="4" borderId="26" xfId="7" applyFont="1" applyFill="1" applyBorder="1" applyAlignment="1">
      <alignment horizontal="center"/>
    </xf>
    <xf numFmtId="0" fontId="25" fillId="4" borderId="28" xfId="7" applyFont="1" applyFill="1" applyBorder="1" applyAlignment="1">
      <alignment horizontal="center"/>
    </xf>
    <xf numFmtId="0" fontId="25" fillId="4" borderId="0" xfId="7" applyFont="1" applyFill="1" applyAlignment="1">
      <alignment horizontal="center"/>
    </xf>
    <xf numFmtId="0" fontId="25" fillId="4" borderId="30" xfId="7" applyFont="1" applyFill="1" applyBorder="1" applyAlignment="1">
      <alignment horizontal="center"/>
    </xf>
    <xf numFmtId="0" fontId="25" fillId="4" borderId="31" xfId="7" applyFont="1" applyFill="1" applyBorder="1" applyAlignment="1">
      <alignment horizontal="center"/>
    </xf>
    <xf numFmtId="0" fontId="29" fillId="4" borderId="28" xfId="7" applyFont="1" applyFill="1" applyBorder="1" applyAlignment="1">
      <alignment horizontal="right" vertical="center"/>
    </xf>
    <xf numFmtId="0" fontId="29" fillId="4" borderId="0" xfId="7" applyFont="1" applyFill="1" applyAlignment="1">
      <alignment horizontal="right" vertical="center"/>
    </xf>
    <xf numFmtId="0" fontId="29" fillId="4" borderId="29" xfId="7" applyFont="1" applyFill="1" applyBorder="1" applyAlignment="1">
      <alignment horizontal="right" vertical="center"/>
    </xf>
    <xf numFmtId="17" fontId="29" fillId="4" borderId="30" xfId="7" applyNumberFormat="1" applyFont="1" applyFill="1" applyBorder="1" applyAlignment="1">
      <alignment horizontal="right" vertical="center"/>
    </xf>
    <xf numFmtId="0" fontId="29" fillId="4" borderId="31" xfId="7" applyFont="1" applyFill="1" applyBorder="1" applyAlignment="1">
      <alignment horizontal="right" vertical="center"/>
    </xf>
    <xf numFmtId="0" fontId="29" fillId="4" borderId="32" xfId="7" applyFont="1" applyFill="1" applyBorder="1" applyAlignment="1">
      <alignment horizontal="right" vertical="center"/>
    </xf>
    <xf numFmtId="0" fontId="26" fillId="4" borderId="28" xfId="7" applyFont="1" applyFill="1" applyBorder="1" applyAlignment="1">
      <alignment horizontal="center"/>
    </xf>
    <xf numFmtId="0" fontId="26" fillId="4" borderId="0" xfId="7" applyFont="1" applyFill="1" applyAlignment="1">
      <alignment horizontal="center"/>
    </xf>
    <xf numFmtId="0" fontId="26" fillId="4" borderId="29" xfId="7" applyFont="1" applyFill="1" applyBorder="1" applyAlignment="1">
      <alignment horizontal="center"/>
    </xf>
    <xf numFmtId="0" fontId="21" fillId="4" borderId="25" xfId="7" applyFont="1" applyFill="1" applyBorder="1" applyAlignment="1" applyProtection="1">
      <alignment horizontal="center" wrapText="1"/>
      <protection locked="0"/>
    </xf>
    <xf numFmtId="0" fontId="21" fillId="4" borderId="26" xfId="7" applyFont="1" applyFill="1" applyBorder="1" applyAlignment="1" applyProtection="1">
      <alignment horizontal="center" wrapText="1"/>
      <protection locked="0"/>
    </xf>
    <xf numFmtId="0" fontId="21" fillId="4" borderId="27" xfId="7" applyFont="1" applyFill="1" applyBorder="1" applyAlignment="1" applyProtection="1">
      <alignment horizontal="center" wrapText="1"/>
      <protection locked="0"/>
    </xf>
    <xf numFmtId="0" fontId="21" fillId="4" borderId="28" xfId="7" applyFont="1" applyFill="1" applyBorder="1" applyAlignment="1" applyProtection="1">
      <alignment horizontal="center" wrapText="1"/>
      <protection locked="0"/>
    </xf>
    <xf numFmtId="0" fontId="21" fillId="4" borderId="0" xfId="7" applyFont="1" applyFill="1" applyAlignment="1" applyProtection="1">
      <alignment horizontal="center" wrapText="1"/>
      <protection locked="0"/>
    </xf>
    <xf numFmtId="0" fontId="21" fillId="4" borderId="29" xfId="7" applyFont="1" applyFill="1" applyBorder="1" applyAlignment="1" applyProtection="1">
      <alignment horizontal="center" wrapText="1"/>
      <protection locked="0"/>
    </xf>
    <xf numFmtId="0" fontId="23" fillId="4" borderId="28" xfId="7" applyFont="1" applyFill="1" applyBorder="1" applyAlignment="1">
      <alignment horizontal="left"/>
    </xf>
    <xf numFmtId="0" fontId="23" fillId="4" borderId="0" xfId="7" applyFont="1" applyFill="1" applyAlignment="1">
      <alignment horizontal="left"/>
    </xf>
    <xf numFmtId="0" fontId="23" fillId="4" borderId="29" xfId="7" applyFont="1" applyFill="1" applyBorder="1" applyAlignment="1">
      <alignment horizontal="left"/>
    </xf>
    <xf numFmtId="0" fontId="26" fillId="4" borderId="28" xfId="7" applyFont="1" applyFill="1" applyBorder="1" applyAlignment="1">
      <alignment horizontal="center" vertical="center" wrapText="1"/>
    </xf>
    <xf numFmtId="0" fontId="26" fillId="4" borderId="0" xfId="7" applyFont="1" applyFill="1" applyAlignment="1">
      <alignment horizontal="center" vertical="center" wrapText="1"/>
    </xf>
    <xf numFmtId="0" fontId="26" fillId="4" borderId="29" xfId="7" applyFont="1" applyFill="1" applyBorder="1" applyAlignment="1">
      <alignment horizontal="center" vertical="center" wrapText="1"/>
    </xf>
    <xf numFmtId="0" fontId="9" fillId="0" borderId="15" xfId="8" applyFont="1" applyBorder="1"/>
    <xf numFmtId="0" fontId="8" fillId="0" borderId="0" xfId="8" applyFont="1" applyAlignment="1">
      <alignment horizontal="center"/>
    </xf>
    <xf numFmtId="0" fontId="9" fillId="0" borderId="0" xfId="8" applyFont="1"/>
    <xf numFmtId="0" fontId="10" fillId="0" borderId="12" xfId="8" applyFont="1" applyBorder="1" applyAlignment="1">
      <alignment horizontal="center"/>
    </xf>
    <xf numFmtId="0" fontId="10" fillId="0" borderId="34" xfId="8" applyFont="1" applyBorder="1" applyAlignment="1">
      <alignment horizontal="center"/>
    </xf>
    <xf numFmtId="0" fontId="10" fillId="0" borderId="35" xfId="8" applyFont="1" applyBorder="1" applyAlignment="1">
      <alignment horizontal="center"/>
    </xf>
  </cellXfs>
  <cellStyles count="63">
    <cellStyle name="Comma 10" xfId="10"/>
    <cellStyle name="Comma 11 2" xfId="55"/>
    <cellStyle name="Comma 12" xfId="11"/>
    <cellStyle name="Comma 18" xfId="57"/>
    <cellStyle name="Comma 2" xfId="12"/>
    <cellStyle name="Comma 2 10" xfId="13"/>
    <cellStyle name="Comma 2 11" xfId="14"/>
    <cellStyle name="Comma 2 12" xfId="53"/>
    <cellStyle name="Comma 2 2" xfId="15"/>
    <cellStyle name="Comma 2 2 2" xfId="61"/>
    <cellStyle name="Comma 2 3" xfId="16"/>
    <cellStyle name="Comma 2 4" xfId="17"/>
    <cellStyle name="Comma 2 5" xfId="18"/>
    <cellStyle name="Comma 2 6" xfId="19"/>
    <cellStyle name="Comma 2 7" xfId="20"/>
    <cellStyle name="Comma 2 8" xfId="21"/>
    <cellStyle name="Comma 2 9" xfId="22"/>
    <cellStyle name="Comma 20" xfId="56"/>
    <cellStyle name="Comma 24" xfId="58"/>
    <cellStyle name="Comma 25" xfId="59"/>
    <cellStyle name="Comma 3" xfId="2"/>
    <cellStyle name="Comma 3 2" xfId="23"/>
    <cellStyle name="Comma 4" xfId="24"/>
    <cellStyle name="Comma 4 2" xfId="25"/>
    <cellStyle name="Comma 5" xfId="26"/>
    <cellStyle name="Comma 6" xfId="27"/>
    <cellStyle name="Migliaia" xfId="1" builtinId="3"/>
    <cellStyle name="Normal 10" xfId="8"/>
    <cellStyle name="Normal 11" xfId="28"/>
    <cellStyle name="Normal 12" xfId="29"/>
    <cellStyle name="Normal 13" xfId="54"/>
    <cellStyle name="Normal 2" xfId="3"/>
    <cellStyle name="Normal 2 10" xfId="30"/>
    <cellStyle name="Normal 2 10 2" xfId="31"/>
    <cellStyle name="Normal 2 11" xfId="32"/>
    <cellStyle name="Normal 2 12" xfId="51"/>
    <cellStyle name="Normal 2 13" xfId="60"/>
    <cellStyle name="Normal 2 14" xfId="62"/>
    <cellStyle name="Normal 2 2" xfId="33"/>
    <cellStyle name="Normal 2 2 2 2 2" xfId="4"/>
    <cellStyle name="Normal 2 2 2 3" xfId="34"/>
    <cellStyle name="Normal 2 2 3 2" xfId="50"/>
    <cellStyle name="Normal 2 3" xfId="35"/>
    <cellStyle name="Normal 2 3 2" xfId="36"/>
    <cellStyle name="Normal 2 4" xfId="37"/>
    <cellStyle name="Normal 2 4 2" xfId="6"/>
    <cellStyle name="Normal 2 5" xfId="38"/>
    <cellStyle name="Normal 2 6" xfId="39"/>
    <cellStyle name="Normal 2 7" xfId="40"/>
    <cellStyle name="Normal 2 8" xfId="41"/>
    <cellStyle name="Normal 2 9" xfId="42"/>
    <cellStyle name="Normal 3" xfId="7"/>
    <cellStyle name="Normal 3 2" xfId="43"/>
    <cellStyle name="Normal 4" xfId="44"/>
    <cellStyle name="Normal 4 2" xfId="9"/>
    <cellStyle name="Normal 5" xfId="45"/>
    <cellStyle name="Normal 6" xfId="46"/>
    <cellStyle name="Normal 6 2" xfId="52"/>
    <cellStyle name="Normal 7" xfId="47"/>
    <cellStyle name="Normal 8" xfId="48"/>
    <cellStyle name="Normal 9" xfId="49"/>
    <cellStyle name="Normal_SUMMARY FOR PART1-3" xfId="5"/>
    <cellStyle name="Normale" xfId="0" builtinId="0"/>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677334</xdr:colOff>
      <xdr:row>18</xdr:row>
      <xdr:rowOff>42334</xdr:rowOff>
    </xdr:from>
    <xdr:to>
      <xdr:col>8</xdr:col>
      <xdr:colOff>293698</xdr:colOff>
      <xdr:row>37</xdr:row>
      <xdr:rowOff>190500</xdr:rowOff>
    </xdr:to>
    <xdr:pic>
      <xdr:nvPicPr>
        <xdr:cNvPr id="3" name="Picture 2">
          <a:extLst>
            <a:ext uri="{FF2B5EF4-FFF2-40B4-BE49-F238E27FC236}">
              <a16:creationId xmlns:a16="http://schemas.microsoft.com/office/drawing/2014/main" id="{CCC7C241-9C3C-7629-642F-579EA370D43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046" r="1961" b="34148"/>
        <a:stretch/>
      </xdr:blipFill>
      <xdr:spPr>
        <a:xfrm>
          <a:off x="677334" y="4339167"/>
          <a:ext cx="5373697" cy="476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MANUEL-PC/Users/Users/user/Desktop/FINISHING/Getent%20Ayehu%20B.C%20Final%20payment%2008/A-2%20Blk%2082%20300kpa-payment-08%20Getent%20Ayehu%20B.C%20r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files%20from%20mulat/Eyassu%202nd%20payment/E-1%20%20Blk%20132%20Res.%20payment%2006%20&amp;%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OLLEN-SERVER/Users/Documents%20and%20Settings/User/Desktop/mekele%20lot%2021%20HOSPITALxls%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or%20stone%20masonry-RE-Yigletu,%20Jemmo%20II,%20%20(Autosave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to%20payment/pay%20according%20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BOQ%20&amp;%20CBD\Gulele%20Subcity%20-CB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Jemmo%20II%20%20Qty/Payment%20%20certificate%20%20to%20be%20approved/ALL%20PAYMENTS%20FINAL%20SEND/Dawit%202ND%20PAYMENT/E-2%20payment%2005%20alemnew%20new%20-%20Checke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Endalemaw%20Kebede/Pay%20-03/A-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Payment%20Gulele-02%20origin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Communal%20facility%20contract%20document/PRICED%20BOQ%20-%20Type%20A2%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1B9DBD8/L-1%20Standa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Users/Wendimu/Desktop/L-1%20Qty%20Res%20200kpa/Takeoff/L-1%20200Kpa%20Resident%20Final%20from%20Yoseph.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Office%20projects/Jemmo%20Condominium%20project/Jemmo%20payment/Communal/CM%20FP%20Erimias%20Gezaheg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OLLEN-SERVER/Users/BIRUK'S%20FILE/ADA%20BORDING%20SCHOOL/Admin%20Office/Documents%20and%20Settings/User/Desktop/mekele%20lot%2021%20HOSPITALxls%20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Documents%20and%20Settings/User.USER-97E8F5706C/Desktop/Top%20tie%20beam/E2%20200%20kpa%20Residence%20Kaleab%20Pay%2006.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C2/Users/Public/print/&#160;/Payment/Interim%20payment/Pay%20No-1/Takeoff/BoQ%20A%20Addis%20Ketem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Abiyot%20Solomon/Pay%20-%2001/A-2%20300Kpa%20Pay-05%20Abiyot.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TOLLEN-SERVER/Users/Users/Micky%20A/Desktop/Users/Amanuel/Desktop/A-2%20Resi%20with%20diam%2016mm%20200KP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Amanuel%20Work/Yeka%20Ayat%20Condominum/Material%20required%20Feb%20,2011/Material%20Breakdown%20by%20Amanuel%20&amp;%20Hiwot%20Mar%2028-11/E-1%20Qty%20Res%20200kpa/Takeoff/L-1%20truss%20Qty%20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HELEN%20H.MARIAM/Helen%20H.mariam%20E1%20300%20kpa%20final%20shop.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rom%20site%20ins+re-yigletu,%20Jemmo%20II,%20%20(Autosaved).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LEX-PC/Users/hiwot%20doc/list%20of%20contractors%20and%20details/YOKA%20CONSTRUCTION/Yoka%20cosntruction%20payment%206%20to%208/A-2%20300kpa-payment-6%20TO%208%20%20yoka%20r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MANUEL-PC/Users/Users/user/Desktop/FINISHING/RHS%20for%20all%20blocks%20(original).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ec-server/bceom/Harar%20Jijjiga/BCEOM%20Reports/EngEst/HJprelim%20Cost%20Est/BILLS~HJ(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TOLLEN-SERVER/Users/Documents%20and%20Settings/Administrator/My%20Documents/MASTER%20MODEL%20and%20trafo%20reports/Users/FITCHE/HALIMAKW.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to%20payment/pay%20according%20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9429408/L-1%20200Kpa%20Resid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BEHAILU%20YESEGATE/Behailu%20Y.%20final%20%20%20payment%20No%201%20to%2010/E-1%20200Kpa%20Pay-08%20withoutshop%20for%20Behailu%20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ESHETU%20YIRDAW/Eshetu%20Yirdaw%20payment%2008%20final/E-1%20200Kpa%20Pay-08%20withoutshop%20Eshetu%20Yirdaw.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TADESSE%20SHIKUR/Tadesse%20S.%20final%202%20Payment%2008/E-2%20payment%2008%20Tadesse%20S.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Documents%20and%20Settings/Administrator/Application%20Data/Microsoft/Excel/Daniel%20Tessera%20G.C%20E2%20500/2nd%20pay/500kp%20E-2%20Res%20BLK%202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r &amp; St"/>
      <sheetName val="A-2 blcok work Res."/>
      <sheetName val="05 Sub Structure BC = 300"/>
      <sheetName val="05 RB A-2 300kp Res. Sub St."/>
      <sheetName val="05 Summary"/>
      <sheetName val="05 A-2 300kp Sup 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300"/>
      <sheetName val="Roofing"/>
      <sheetName val="E-1 300kp Res. Sup St."/>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BOQ Ar &amp; St"/>
      <sheetName val="Sub-Structure Rein"/>
      <sheetName val="Super-Structure Rein"/>
      <sheetName val="T-OFF"/>
    </sheetNames>
    <sheetDataSet>
      <sheetData sheetId="0" refreshError="1"/>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s>
    <sheetDataSet>
      <sheetData sheetId="0" refreshError="1"/>
      <sheetData sheetId="1" refreshError="1"/>
      <sheetData sheetId="2" refreshError="1">
        <row r="1">
          <cell r="B1">
            <v>0</v>
          </cell>
        </row>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2 Res (EXC&amp;MAS200kp)"/>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Res. Sup St."/>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bar. C "/>
      <sheetName val="Block A Rebar"/>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for above 3rd floor"/>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200"/>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al sub r-bar"/>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
      <sheetName val="SUPER ST"/>
    </sheet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Shop Sup St."/>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RB A-2 300kp Shop Sub St."/>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 Ar &amp; St"/>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 E-1 300kp SHOP. Sub St."/>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to 08 Ar &amp; S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S and Lattice purline A-2"/>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s of Quantitie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amp; St"/>
      <sheetName val="E-1 200kp  Sup St."/>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Block Work Residenc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wa"/>
      <sheetName val="Break Down  "/>
      <sheetName val="Aca. Off - I"/>
      <sheetName val="Income Stmnt"/>
      <sheetName val="PROJECT TRACKING"/>
      <sheetName val="Labor Budget"/>
      <sheetName val="08 Ar &amp; St"/>
      <sheetName val="08 Summary"/>
      <sheetName val="08 A-2 200kp Resi Sup St."/>
      <sheetName val="Summary"/>
      <sheetName val="Dining Room "/>
      <sheetName val="Date"/>
      <sheetName val="Sheet2"/>
      <sheetName val="Week 4"/>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Cash flow schedule Phase 1&amp;2"/>
      <sheetName val="page -1 project information"/>
      <sheetName val="summary of activitie old"/>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BOQ block 3"/>
      <sheetName val="FEB"/>
      <sheetName val="Lab. BOQ."/>
      <sheetName val="05 Ar &amp; St"/>
      <sheetName val="A-2 blcok work Res."/>
      <sheetName val="Sheet1"/>
      <sheetName val="05 RB A-2 200kp Res. Sub St."/>
      <sheetName val="05 A-2 300kp Sup St."/>
      <sheetName val="MEWD "/>
      <sheetName val="SUB BOQ"/>
      <sheetName val="Sum"/>
      <sheetName val="Mob.II"/>
      <sheetName val="Camp"/>
      <sheetName val="Ls Item"/>
      <sheetName val="Ar &amp; St"/>
      <sheetName val="Sub Structure BC = 200"/>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Bills of Quantities"/>
      <sheetName val="05 A-2 300kp Res. Sup St."/>
      <sheetName val="#REF"/>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 L -1  sub R-bar "/>
      <sheetName val="L-1 200kpa Res.Sub"/>
      <sheetName val="Exc."/>
      <sheetName val="품의"/>
      <sheetName val="대비"/>
      <sheetName val="Cash_flow_schedule_Phase_1&amp;2"/>
      <sheetName val="perforated sheet cost -Customs"/>
      <sheetName val="Cash_flow_schedule_Phase_1&amp;21"/>
      <sheetName val="장비"/>
      <sheetName val="노무"/>
      <sheetName val="자재"/>
      <sheetName val="산근1"/>
      <sheetName val="지계"/>
      <sheetName val=" analysis"/>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05 RB A-2 300kp Shop Sub St."/>
      <sheetName val="ST con. Sup. M.B."/>
      <sheetName val="SUP bar"/>
      <sheetName val=" L -1  sub R-bar for 200Kpa "/>
      <sheetName val=" Ar &amp; St"/>
      <sheetName val="PA(B-4)F"/>
      <sheetName val="PA(B-5)F"/>
      <sheetName val="PA(B-4)L"/>
      <sheetName val="Sub Structure BC = 300"/>
      <sheetName val="Roofing"/>
      <sheetName val="E-1 300kp Res. Sup St."/>
      <sheetName val="E-1 Block Work Residence"/>
      <sheetName val="Cash_flow_schedule_Phase_1&amp;22"/>
      <sheetName val="Week_42"/>
      <sheetName val="Week_4"/>
      <sheetName val="Week_41"/>
      <sheetName val="OPD takh_x0000_t_x0000_t"/>
      <sheetName val="05 A-2 300kp Shop Sup St."/>
      <sheetName val="OPD takh"/>
      <sheetName val="BOQ_block_3"/>
      <sheetName val="MEWD_"/>
      <sheetName val="SUB_BOQ"/>
      <sheetName val="05_Ar_&amp;_St"/>
      <sheetName val="A-2_blcok_work_Res_"/>
      <sheetName val="05_RB_A-2_200kp_Res__Sub_St_"/>
      <sheetName val="05_A-2_300kp_Sup_St_"/>
      <sheetName val="BOQ_block_31"/>
      <sheetName val="MEWD_1"/>
      <sheetName val="SUB_BOQ1"/>
      <sheetName val="05_Ar_&amp;_St1"/>
      <sheetName val="A-2_blcok_work_Res_1"/>
      <sheetName val="05_RB_A-2_200kp_Res__Sub_St_1"/>
      <sheetName val="05_A-2_300kp_Sup_St_1"/>
      <sheetName val="BOQ_block_32"/>
      <sheetName val="MEWD_2"/>
      <sheetName val="SUB_BOQ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Lab__BOQ_"/>
      <sheetName val="Summary-2"/>
      <sheetName val="Final Direct Cost"/>
      <sheetName val="Summary Chash Flow"/>
      <sheetName val="Grand Summary"/>
      <sheetName val="BLOCK308"/>
      <sheetName val="RB E-1 300kp Res. Super St."/>
      <sheetName val="Title List"/>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C. Material "/>
      <sheetName val="E. Equipments"/>
      <sheetName val="D. Labor "/>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Raw Data"/>
      <sheetName val="OPD takh_x005f_x0000_t_x005f_x0000_t"/>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ertificate Pay 1"/>
      <sheetName val="Labor"/>
      <sheetName val="Material"/>
      <sheetName val="Super BOQ"/>
      <sheetName val="Supr Rebar"/>
      <sheetName val="E-1 200kp  Sup St."/>
      <sheetName val="RB E-1 200kp Res. Sub St."/>
      <sheetName val="E-1 200kp Res. Sub St."/>
      <sheetName val="간선계산"/>
      <sheetName val="ST"/>
      <sheetName val="Data"/>
      <sheetName val="Excav"/>
      <sheetName val="AR&amp;ST REV"/>
      <sheetName val="Mat.datal"/>
      <sheetName val="TOS NO-7 FACTORY"/>
      <sheetName val="TOS-NO-7 UG TANK"/>
      <sheetName val="05_A-2_300kp_Shop_Sup_St_"/>
      <sheetName val="Final_Direct_Cost"/>
      <sheetName val="EST PAYM"/>
      <sheetName val="DATA SHEET"/>
      <sheetName val="sheet18"/>
      <sheetName val="Sheet4"/>
      <sheetName val="management"/>
      <sheetName val="AUX DATA"/>
      <sheetName val="Bitumen &amp; Emulsions"/>
      <sheetName val="AUX DC SUMARY"/>
      <sheetName val="AUX RATES"/>
      <sheetName val="AUX HOURS"/>
      <sheetName val="General cost"/>
    </sheetNames>
    <sheetDataSet>
      <sheetData sheetId="0">
        <row r="51">
          <cell r="G51">
            <v>11.8125</v>
          </cell>
        </row>
      </sheetData>
      <sheetData sheetId="1">
        <row r="51">
          <cell r="G51">
            <v>11.8125</v>
          </cell>
        </row>
      </sheetData>
      <sheetData sheetId="2">
        <row r="51">
          <cell r="G51">
            <v>11.8125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refreshError="1"/>
      <sheetData sheetId="195"/>
      <sheetData sheetId="196"/>
      <sheetData sheetId="197"/>
      <sheetData sheetId="198"/>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BOQ"/>
      <sheetName val="Supr Rebar"/>
    </sheetNames>
    <sheetDataSet>
      <sheetData sheetId="0" refreshError="1"/>
      <sheetData sheetId="1"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topLeftCell="A10" zoomScaleNormal="100" workbookViewId="0">
      <selection activeCell="K29" sqref="K29"/>
    </sheetView>
  </sheetViews>
  <sheetFormatPr defaultColWidth="0" defaultRowHeight="15"/>
  <cols>
    <col min="1" max="1" width="9.42578125" style="127" customWidth="1"/>
    <col min="2" max="9" width="9.42578125" style="120" customWidth="1"/>
    <col min="10" max="10" width="5" style="120" customWidth="1"/>
    <col min="11" max="254" width="9.140625" style="120" customWidth="1"/>
    <col min="255" max="256" width="0" style="120" hidden="1"/>
    <col min="257" max="257" width="34.140625" style="120" customWidth="1"/>
    <col min="258" max="258" width="28.7109375" style="120" customWidth="1"/>
    <col min="259" max="259" width="32.140625" style="120" customWidth="1"/>
    <col min="260" max="260" width="4" style="120" customWidth="1"/>
    <col min="261" max="262" width="17.42578125" style="120" bestFit="1" customWidth="1"/>
    <col min="263" max="263" width="19.140625" style="120" customWidth="1"/>
    <col min="264" max="510" width="9.140625" style="120" customWidth="1"/>
    <col min="511" max="512" width="0" style="120" hidden="1"/>
    <col min="513" max="513" width="34.140625" style="120" customWidth="1"/>
    <col min="514" max="514" width="28.7109375" style="120" customWidth="1"/>
    <col min="515" max="515" width="32.140625" style="120" customWidth="1"/>
    <col min="516" max="516" width="4" style="120" customWidth="1"/>
    <col min="517" max="518" width="17.42578125" style="120" bestFit="1" customWidth="1"/>
    <col min="519" max="519" width="19.140625" style="120" customWidth="1"/>
    <col min="520" max="766" width="9.140625" style="120" customWidth="1"/>
    <col min="767" max="768" width="0" style="120" hidden="1"/>
    <col min="769" max="769" width="34.140625" style="120" customWidth="1"/>
    <col min="770" max="770" width="28.7109375" style="120" customWidth="1"/>
    <col min="771" max="771" width="32.140625" style="120" customWidth="1"/>
    <col min="772" max="772" width="4" style="120" customWidth="1"/>
    <col min="773" max="774" width="17.42578125" style="120" bestFit="1" customWidth="1"/>
    <col min="775" max="775" width="19.140625" style="120" customWidth="1"/>
    <col min="776" max="1022" width="9.140625" style="120" customWidth="1"/>
    <col min="1023" max="1024" width="0" style="120" hidden="1"/>
    <col min="1025" max="1025" width="34.140625" style="120" customWidth="1"/>
    <col min="1026" max="1026" width="28.7109375" style="120" customWidth="1"/>
    <col min="1027" max="1027" width="32.140625" style="120" customWidth="1"/>
    <col min="1028" max="1028" width="4" style="120" customWidth="1"/>
    <col min="1029" max="1030" width="17.42578125" style="120" bestFit="1" customWidth="1"/>
    <col min="1031" max="1031" width="19.140625" style="120" customWidth="1"/>
    <col min="1032" max="1278" width="9.140625" style="120" customWidth="1"/>
    <col min="1279" max="1280" width="0" style="120" hidden="1"/>
    <col min="1281" max="1281" width="34.140625" style="120" customWidth="1"/>
    <col min="1282" max="1282" width="28.7109375" style="120" customWidth="1"/>
    <col min="1283" max="1283" width="32.140625" style="120" customWidth="1"/>
    <col min="1284" max="1284" width="4" style="120" customWidth="1"/>
    <col min="1285" max="1286" width="17.42578125" style="120" bestFit="1" customWidth="1"/>
    <col min="1287" max="1287" width="19.140625" style="120" customWidth="1"/>
    <col min="1288" max="1534" width="9.140625" style="120" customWidth="1"/>
    <col min="1535" max="1536" width="0" style="120" hidden="1"/>
    <col min="1537" max="1537" width="34.140625" style="120" customWidth="1"/>
    <col min="1538" max="1538" width="28.7109375" style="120" customWidth="1"/>
    <col min="1539" max="1539" width="32.140625" style="120" customWidth="1"/>
    <col min="1540" max="1540" width="4" style="120" customWidth="1"/>
    <col min="1541" max="1542" width="17.42578125" style="120" bestFit="1" customWidth="1"/>
    <col min="1543" max="1543" width="19.140625" style="120" customWidth="1"/>
    <col min="1544" max="1790" width="9.140625" style="120" customWidth="1"/>
    <col min="1791" max="1792" width="0" style="120" hidden="1"/>
    <col min="1793" max="1793" width="34.140625" style="120" customWidth="1"/>
    <col min="1794" max="1794" width="28.7109375" style="120" customWidth="1"/>
    <col min="1795" max="1795" width="32.140625" style="120" customWidth="1"/>
    <col min="1796" max="1796" width="4" style="120" customWidth="1"/>
    <col min="1797" max="1798" width="17.42578125" style="120" bestFit="1" customWidth="1"/>
    <col min="1799" max="1799" width="19.140625" style="120" customWidth="1"/>
    <col min="1800" max="2046" width="9.140625" style="120" customWidth="1"/>
    <col min="2047" max="2048" width="0" style="120" hidden="1"/>
    <col min="2049" max="2049" width="34.140625" style="120" customWidth="1"/>
    <col min="2050" max="2050" width="28.7109375" style="120" customWidth="1"/>
    <col min="2051" max="2051" width="32.140625" style="120" customWidth="1"/>
    <col min="2052" max="2052" width="4" style="120" customWidth="1"/>
    <col min="2053" max="2054" width="17.42578125" style="120" bestFit="1" customWidth="1"/>
    <col min="2055" max="2055" width="19.140625" style="120" customWidth="1"/>
    <col min="2056" max="2302" width="9.140625" style="120" customWidth="1"/>
    <col min="2303" max="2304" width="0" style="120" hidden="1"/>
    <col min="2305" max="2305" width="34.140625" style="120" customWidth="1"/>
    <col min="2306" max="2306" width="28.7109375" style="120" customWidth="1"/>
    <col min="2307" max="2307" width="32.140625" style="120" customWidth="1"/>
    <col min="2308" max="2308" width="4" style="120" customWidth="1"/>
    <col min="2309" max="2310" width="17.42578125" style="120" bestFit="1" customWidth="1"/>
    <col min="2311" max="2311" width="19.140625" style="120" customWidth="1"/>
    <col min="2312" max="2558" width="9.140625" style="120" customWidth="1"/>
    <col min="2559" max="2560" width="0" style="120" hidden="1"/>
    <col min="2561" max="2561" width="34.140625" style="120" customWidth="1"/>
    <col min="2562" max="2562" width="28.7109375" style="120" customWidth="1"/>
    <col min="2563" max="2563" width="32.140625" style="120" customWidth="1"/>
    <col min="2564" max="2564" width="4" style="120" customWidth="1"/>
    <col min="2565" max="2566" width="17.42578125" style="120" bestFit="1" customWidth="1"/>
    <col min="2567" max="2567" width="19.140625" style="120" customWidth="1"/>
    <col min="2568" max="2814" width="9.140625" style="120" customWidth="1"/>
    <col min="2815" max="2816" width="0" style="120" hidden="1"/>
    <col min="2817" max="2817" width="34.140625" style="120" customWidth="1"/>
    <col min="2818" max="2818" width="28.7109375" style="120" customWidth="1"/>
    <col min="2819" max="2819" width="32.140625" style="120" customWidth="1"/>
    <col min="2820" max="2820" width="4" style="120" customWidth="1"/>
    <col min="2821" max="2822" width="17.42578125" style="120" bestFit="1" customWidth="1"/>
    <col min="2823" max="2823" width="19.140625" style="120" customWidth="1"/>
    <col min="2824" max="3070" width="9.140625" style="120" customWidth="1"/>
    <col min="3071" max="3072" width="0" style="120" hidden="1"/>
    <col min="3073" max="3073" width="34.140625" style="120" customWidth="1"/>
    <col min="3074" max="3074" width="28.7109375" style="120" customWidth="1"/>
    <col min="3075" max="3075" width="32.140625" style="120" customWidth="1"/>
    <col min="3076" max="3076" width="4" style="120" customWidth="1"/>
    <col min="3077" max="3078" width="17.42578125" style="120" bestFit="1" customWidth="1"/>
    <col min="3079" max="3079" width="19.140625" style="120" customWidth="1"/>
    <col min="3080" max="3326" width="9.140625" style="120" customWidth="1"/>
    <col min="3327" max="3328" width="0" style="120" hidden="1"/>
    <col min="3329" max="3329" width="34.140625" style="120" customWidth="1"/>
    <col min="3330" max="3330" width="28.7109375" style="120" customWidth="1"/>
    <col min="3331" max="3331" width="32.140625" style="120" customWidth="1"/>
    <col min="3332" max="3332" width="4" style="120" customWidth="1"/>
    <col min="3333" max="3334" width="17.42578125" style="120" bestFit="1" customWidth="1"/>
    <col min="3335" max="3335" width="19.140625" style="120" customWidth="1"/>
    <col min="3336" max="3582" width="9.140625" style="120" customWidth="1"/>
    <col min="3583" max="3584" width="0" style="120" hidden="1"/>
    <col min="3585" max="3585" width="34.140625" style="120" customWidth="1"/>
    <col min="3586" max="3586" width="28.7109375" style="120" customWidth="1"/>
    <col min="3587" max="3587" width="32.140625" style="120" customWidth="1"/>
    <col min="3588" max="3588" width="4" style="120" customWidth="1"/>
    <col min="3589" max="3590" width="17.42578125" style="120" bestFit="1" customWidth="1"/>
    <col min="3591" max="3591" width="19.140625" style="120" customWidth="1"/>
    <col min="3592" max="3838" width="9.140625" style="120" customWidth="1"/>
    <col min="3839" max="3840" width="0" style="120" hidden="1"/>
    <col min="3841" max="3841" width="34.140625" style="120" customWidth="1"/>
    <col min="3842" max="3842" width="28.7109375" style="120" customWidth="1"/>
    <col min="3843" max="3843" width="32.140625" style="120" customWidth="1"/>
    <col min="3844" max="3844" width="4" style="120" customWidth="1"/>
    <col min="3845" max="3846" width="17.42578125" style="120" bestFit="1" customWidth="1"/>
    <col min="3847" max="3847" width="19.140625" style="120" customWidth="1"/>
    <col min="3848" max="4094" width="9.140625" style="120" customWidth="1"/>
    <col min="4095" max="4096" width="0" style="120" hidden="1"/>
    <col min="4097" max="4097" width="34.140625" style="120" customWidth="1"/>
    <col min="4098" max="4098" width="28.7109375" style="120" customWidth="1"/>
    <col min="4099" max="4099" width="32.140625" style="120" customWidth="1"/>
    <col min="4100" max="4100" width="4" style="120" customWidth="1"/>
    <col min="4101" max="4102" width="17.42578125" style="120" bestFit="1" customWidth="1"/>
    <col min="4103" max="4103" width="19.140625" style="120" customWidth="1"/>
    <col min="4104" max="4350" width="9.140625" style="120" customWidth="1"/>
    <col min="4351" max="4352" width="0" style="120" hidden="1"/>
    <col min="4353" max="4353" width="34.140625" style="120" customWidth="1"/>
    <col min="4354" max="4354" width="28.7109375" style="120" customWidth="1"/>
    <col min="4355" max="4355" width="32.140625" style="120" customWidth="1"/>
    <col min="4356" max="4356" width="4" style="120" customWidth="1"/>
    <col min="4357" max="4358" width="17.42578125" style="120" bestFit="1" customWidth="1"/>
    <col min="4359" max="4359" width="19.140625" style="120" customWidth="1"/>
    <col min="4360" max="4606" width="9.140625" style="120" customWidth="1"/>
    <col min="4607" max="4608" width="0" style="120" hidden="1"/>
    <col min="4609" max="4609" width="34.140625" style="120" customWidth="1"/>
    <col min="4610" max="4610" width="28.7109375" style="120" customWidth="1"/>
    <col min="4611" max="4611" width="32.140625" style="120" customWidth="1"/>
    <col min="4612" max="4612" width="4" style="120" customWidth="1"/>
    <col min="4613" max="4614" width="17.42578125" style="120" bestFit="1" customWidth="1"/>
    <col min="4615" max="4615" width="19.140625" style="120" customWidth="1"/>
    <col min="4616" max="4862" width="9.140625" style="120" customWidth="1"/>
    <col min="4863" max="4864" width="0" style="120" hidden="1"/>
    <col min="4865" max="4865" width="34.140625" style="120" customWidth="1"/>
    <col min="4866" max="4866" width="28.7109375" style="120" customWidth="1"/>
    <col min="4867" max="4867" width="32.140625" style="120" customWidth="1"/>
    <col min="4868" max="4868" width="4" style="120" customWidth="1"/>
    <col min="4869" max="4870" width="17.42578125" style="120" bestFit="1" customWidth="1"/>
    <col min="4871" max="4871" width="19.140625" style="120" customWidth="1"/>
    <col min="4872" max="5118" width="9.140625" style="120" customWidth="1"/>
    <col min="5119" max="5120" width="0" style="120" hidden="1"/>
    <col min="5121" max="5121" width="34.140625" style="120" customWidth="1"/>
    <col min="5122" max="5122" width="28.7109375" style="120" customWidth="1"/>
    <col min="5123" max="5123" width="32.140625" style="120" customWidth="1"/>
    <col min="5124" max="5124" width="4" style="120" customWidth="1"/>
    <col min="5125" max="5126" width="17.42578125" style="120" bestFit="1" customWidth="1"/>
    <col min="5127" max="5127" width="19.140625" style="120" customWidth="1"/>
    <col min="5128" max="5374" width="9.140625" style="120" customWidth="1"/>
    <col min="5375" max="5376" width="0" style="120" hidden="1"/>
    <col min="5377" max="5377" width="34.140625" style="120" customWidth="1"/>
    <col min="5378" max="5378" width="28.7109375" style="120" customWidth="1"/>
    <col min="5379" max="5379" width="32.140625" style="120" customWidth="1"/>
    <col min="5380" max="5380" width="4" style="120" customWidth="1"/>
    <col min="5381" max="5382" width="17.42578125" style="120" bestFit="1" customWidth="1"/>
    <col min="5383" max="5383" width="19.140625" style="120" customWidth="1"/>
    <col min="5384" max="5630" width="9.140625" style="120" customWidth="1"/>
    <col min="5631" max="5632" width="0" style="120" hidden="1"/>
    <col min="5633" max="5633" width="34.140625" style="120" customWidth="1"/>
    <col min="5634" max="5634" width="28.7109375" style="120" customWidth="1"/>
    <col min="5635" max="5635" width="32.140625" style="120" customWidth="1"/>
    <col min="5636" max="5636" width="4" style="120" customWidth="1"/>
    <col min="5637" max="5638" width="17.42578125" style="120" bestFit="1" customWidth="1"/>
    <col min="5639" max="5639" width="19.140625" style="120" customWidth="1"/>
    <col min="5640" max="5886" width="9.140625" style="120" customWidth="1"/>
    <col min="5887" max="5888" width="0" style="120" hidden="1"/>
    <col min="5889" max="5889" width="34.140625" style="120" customWidth="1"/>
    <col min="5890" max="5890" width="28.7109375" style="120" customWidth="1"/>
    <col min="5891" max="5891" width="32.140625" style="120" customWidth="1"/>
    <col min="5892" max="5892" width="4" style="120" customWidth="1"/>
    <col min="5893" max="5894" width="17.42578125" style="120" bestFit="1" customWidth="1"/>
    <col min="5895" max="5895" width="19.140625" style="120" customWidth="1"/>
    <col min="5896" max="6142" width="9.140625" style="120" customWidth="1"/>
    <col min="6143" max="6144" width="0" style="120" hidden="1"/>
    <col min="6145" max="6145" width="34.140625" style="120" customWidth="1"/>
    <col min="6146" max="6146" width="28.7109375" style="120" customWidth="1"/>
    <col min="6147" max="6147" width="32.140625" style="120" customWidth="1"/>
    <col min="6148" max="6148" width="4" style="120" customWidth="1"/>
    <col min="6149" max="6150" width="17.42578125" style="120" bestFit="1" customWidth="1"/>
    <col min="6151" max="6151" width="19.140625" style="120" customWidth="1"/>
    <col min="6152" max="6398" width="9.140625" style="120" customWidth="1"/>
    <col min="6399" max="6400" width="0" style="120" hidden="1"/>
    <col min="6401" max="6401" width="34.140625" style="120" customWidth="1"/>
    <col min="6402" max="6402" width="28.7109375" style="120" customWidth="1"/>
    <col min="6403" max="6403" width="32.140625" style="120" customWidth="1"/>
    <col min="6404" max="6404" width="4" style="120" customWidth="1"/>
    <col min="6405" max="6406" width="17.42578125" style="120" bestFit="1" customWidth="1"/>
    <col min="6407" max="6407" width="19.140625" style="120" customWidth="1"/>
    <col min="6408" max="6654" width="9.140625" style="120" customWidth="1"/>
    <col min="6655" max="6656" width="0" style="120" hidden="1"/>
    <col min="6657" max="6657" width="34.140625" style="120" customWidth="1"/>
    <col min="6658" max="6658" width="28.7109375" style="120" customWidth="1"/>
    <col min="6659" max="6659" width="32.140625" style="120" customWidth="1"/>
    <col min="6660" max="6660" width="4" style="120" customWidth="1"/>
    <col min="6661" max="6662" width="17.42578125" style="120" bestFit="1" customWidth="1"/>
    <col min="6663" max="6663" width="19.140625" style="120" customWidth="1"/>
    <col min="6664" max="6910" width="9.140625" style="120" customWidth="1"/>
    <col min="6911" max="6912" width="0" style="120" hidden="1"/>
    <col min="6913" max="6913" width="34.140625" style="120" customWidth="1"/>
    <col min="6914" max="6914" width="28.7109375" style="120" customWidth="1"/>
    <col min="6915" max="6915" width="32.140625" style="120" customWidth="1"/>
    <col min="6916" max="6916" width="4" style="120" customWidth="1"/>
    <col min="6917" max="6918" width="17.42578125" style="120" bestFit="1" customWidth="1"/>
    <col min="6919" max="6919" width="19.140625" style="120" customWidth="1"/>
    <col min="6920" max="7166" width="9.140625" style="120" customWidth="1"/>
    <col min="7167" max="7168" width="0" style="120" hidden="1"/>
    <col min="7169" max="7169" width="34.140625" style="120" customWidth="1"/>
    <col min="7170" max="7170" width="28.7109375" style="120" customWidth="1"/>
    <col min="7171" max="7171" width="32.140625" style="120" customWidth="1"/>
    <col min="7172" max="7172" width="4" style="120" customWidth="1"/>
    <col min="7173" max="7174" width="17.42578125" style="120" bestFit="1" customWidth="1"/>
    <col min="7175" max="7175" width="19.140625" style="120" customWidth="1"/>
    <col min="7176" max="7422" width="9.140625" style="120" customWidth="1"/>
    <col min="7423" max="7424" width="0" style="120" hidden="1"/>
    <col min="7425" max="7425" width="34.140625" style="120" customWidth="1"/>
    <col min="7426" max="7426" width="28.7109375" style="120" customWidth="1"/>
    <col min="7427" max="7427" width="32.140625" style="120" customWidth="1"/>
    <col min="7428" max="7428" width="4" style="120" customWidth="1"/>
    <col min="7429" max="7430" width="17.42578125" style="120" bestFit="1" customWidth="1"/>
    <col min="7431" max="7431" width="19.140625" style="120" customWidth="1"/>
    <col min="7432" max="7678" width="9.140625" style="120" customWidth="1"/>
    <col min="7679" max="7680" width="0" style="120" hidden="1"/>
    <col min="7681" max="7681" width="34.140625" style="120" customWidth="1"/>
    <col min="7682" max="7682" width="28.7109375" style="120" customWidth="1"/>
    <col min="7683" max="7683" width="32.140625" style="120" customWidth="1"/>
    <col min="7684" max="7684" width="4" style="120" customWidth="1"/>
    <col min="7685" max="7686" width="17.42578125" style="120" bestFit="1" customWidth="1"/>
    <col min="7687" max="7687" width="19.140625" style="120" customWidth="1"/>
    <col min="7688" max="7934" width="9.140625" style="120" customWidth="1"/>
    <col min="7935" max="7936" width="0" style="120" hidden="1"/>
    <col min="7937" max="7937" width="34.140625" style="120" customWidth="1"/>
    <col min="7938" max="7938" width="28.7109375" style="120" customWidth="1"/>
    <col min="7939" max="7939" width="32.140625" style="120" customWidth="1"/>
    <col min="7940" max="7940" width="4" style="120" customWidth="1"/>
    <col min="7941" max="7942" width="17.42578125" style="120" bestFit="1" customWidth="1"/>
    <col min="7943" max="7943" width="19.140625" style="120" customWidth="1"/>
    <col min="7944" max="8190" width="9.140625" style="120" customWidth="1"/>
    <col min="8191" max="8192" width="0" style="120" hidden="1"/>
    <col min="8193" max="8193" width="34.140625" style="120" customWidth="1"/>
    <col min="8194" max="8194" width="28.7109375" style="120" customWidth="1"/>
    <col min="8195" max="8195" width="32.140625" style="120" customWidth="1"/>
    <col min="8196" max="8196" width="4" style="120" customWidth="1"/>
    <col min="8197" max="8198" width="17.42578125" style="120" bestFit="1" customWidth="1"/>
    <col min="8199" max="8199" width="19.140625" style="120" customWidth="1"/>
    <col min="8200" max="8446" width="9.140625" style="120" customWidth="1"/>
    <col min="8447" max="8448" width="0" style="120" hidden="1"/>
    <col min="8449" max="8449" width="34.140625" style="120" customWidth="1"/>
    <col min="8450" max="8450" width="28.7109375" style="120" customWidth="1"/>
    <col min="8451" max="8451" width="32.140625" style="120" customWidth="1"/>
    <col min="8452" max="8452" width="4" style="120" customWidth="1"/>
    <col min="8453" max="8454" width="17.42578125" style="120" bestFit="1" customWidth="1"/>
    <col min="8455" max="8455" width="19.140625" style="120" customWidth="1"/>
    <col min="8456" max="8702" width="9.140625" style="120" customWidth="1"/>
    <col min="8703" max="8704" width="0" style="120" hidden="1"/>
    <col min="8705" max="8705" width="34.140625" style="120" customWidth="1"/>
    <col min="8706" max="8706" width="28.7109375" style="120" customWidth="1"/>
    <col min="8707" max="8707" width="32.140625" style="120" customWidth="1"/>
    <col min="8708" max="8708" width="4" style="120" customWidth="1"/>
    <col min="8709" max="8710" width="17.42578125" style="120" bestFit="1" customWidth="1"/>
    <col min="8711" max="8711" width="19.140625" style="120" customWidth="1"/>
    <col min="8712" max="8958" width="9.140625" style="120" customWidth="1"/>
    <col min="8959" max="8960" width="0" style="120" hidden="1"/>
    <col min="8961" max="8961" width="34.140625" style="120" customWidth="1"/>
    <col min="8962" max="8962" width="28.7109375" style="120" customWidth="1"/>
    <col min="8963" max="8963" width="32.140625" style="120" customWidth="1"/>
    <col min="8964" max="8964" width="4" style="120" customWidth="1"/>
    <col min="8965" max="8966" width="17.42578125" style="120" bestFit="1" customWidth="1"/>
    <col min="8967" max="8967" width="19.140625" style="120" customWidth="1"/>
    <col min="8968" max="9214" width="9.140625" style="120" customWidth="1"/>
    <col min="9215" max="9216" width="0" style="120" hidden="1"/>
    <col min="9217" max="9217" width="34.140625" style="120" customWidth="1"/>
    <col min="9218" max="9218" width="28.7109375" style="120" customWidth="1"/>
    <col min="9219" max="9219" width="32.140625" style="120" customWidth="1"/>
    <col min="9220" max="9220" width="4" style="120" customWidth="1"/>
    <col min="9221" max="9222" width="17.42578125" style="120" bestFit="1" customWidth="1"/>
    <col min="9223" max="9223" width="19.140625" style="120" customWidth="1"/>
    <col min="9224" max="9470" width="9.140625" style="120" customWidth="1"/>
    <col min="9471" max="9472" width="0" style="120" hidden="1"/>
    <col min="9473" max="9473" width="34.140625" style="120" customWidth="1"/>
    <col min="9474" max="9474" width="28.7109375" style="120" customWidth="1"/>
    <col min="9475" max="9475" width="32.140625" style="120" customWidth="1"/>
    <col min="9476" max="9476" width="4" style="120" customWidth="1"/>
    <col min="9477" max="9478" width="17.42578125" style="120" bestFit="1" customWidth="1"/>
    <col min="9479" max="9479" width="19.140625" style="120" customWidth="1"/>
    <col min="9480" max="9726" width="9.140625" style="120" customWidth="1"/>
    <col min="9727" max="9728" width="0" style="120" hidden="1"/>
    <col min="9729" max="9729" width="34.140625" style="120" customWidth="1"/>
    <col min="9730" max="9730" width="28.7109375" style="120" customWidth="1"/>
    <col min="9731" max="9731" width="32.140625" style="120" customWidth="1"/>
    <col min="9732" max="9732" width="4" style="120" customWidth="1"/>
    <col min="9733" max="9734" width="17.42578125" style="120" bestFit="1" customWidth="1"/>
    <col min="9735" max="9735" width="19.140625" style="120" customWidth="1"/>
    <col min="9736" max="9982" width="9.140625" style="120" customWidth="1"/>
    <col min="9983" max="9984" width="0" style="120" hidden="1"/>
    <col min="9985" max="9985" width="34.140625" style="120" customWidth="1"/>
    <col min="9986" max="9986" width="28.7109375" style="120" customWidth="1"/>
    <col min="9987" max="9987" width="32.140625" style="120" customWidth="1"/>
    <col min="9988" max="9988" width="4" style="120" customWidth="1"/>
    <col min="9989" max="9990" width="17.42578125" style="120" bestFit="1" customWidth="1"/>
    <col min="9991" max="9991" width="19.140625" style="120" customWidth="1"/>
    <col min="9992" max="10238" width="9.140625" style="120" customWidth="1"/>
    <col min="10239" max="10240" width="0" style="120" hidden="1"/>
    <col min="10241" max="10241" width="34.140625" style="120" customWidth="1"/>
    <col min="10242" max="10242" width="28.7109375" style="120" customWidth="1"/>
    <col min="10243" max="10243" width="32.140625" style="120" customWidth="1"/>
    <col min="10244" max="10244" width="4" style="120" customWidth="1"/>
    <col min="10245" max="10246" width="17.42578125" style="120" bestFit="1" customWidth="1"/>
    <col min="10247" max="10247" width="19.140625" style="120" customWidth="1"/>
    <col min="10248" max="10494" width="9.140625" style="120" customWidth="1"/>
    <col min="10495" max="10496" width="0" style="120" hidden="1"/>
    <col min="10497" max="10497" width="34.140625" style="120" customWidth="1"/>
    <col min="10498" max="10498" width="28.7109375" style="120" customWidth="1"/>
    <col min="10499" max="10499" width="32.140625" style="120" customWidth="1"/>
    <col min="10500" max="10500" width="4" style="120" customWidth="1"/>
    <col min="10501" max="10502" width="17.42578125" style="120" bestFit="1" customWidth="1"/>
    <col min="10503" max="10503" width="19.140625" style="120" customWidth="1"/>
    <col min="10504" max="10750" width="9.140625" style="120" customWidth="1"/>
    <col min="10751" max="10752" width="0" style="120" hidden="1"/>
    <col min="10753" max="10753" width="34.140625" style="120" customWidth="1"/>
    <col min="10754" max="10754" width="28.7109375" style="120" customWidth="1"/>
    <col min="10755" max="10755" width="32.140625" style="120" customWidth="1"/>
    <col min="10756" max="10756" width="4" style="120" customWidth="1"/>
    <col min="10757" max="10758" width="17.42578125" style="120" bestFit="1" customWidth="1"/>
    <col min="10759" max="10759" width="19.140625" style="120" customWidth="1"/>
    <col min="10760" max="11006" width="9.140625" style="120" customWidth="1"/>
    <col min="11007" max="11008" width="0" style="120" hidden="1"/>
    <col min="11009" max="11009" width="34.140625" style="120" customWidth="1"/>
    <col min="11010" max="11010" width="28.7109375" style="120" customWidth="1"/>
    <col min="11011" max="11011" width="32.140625" style="120" customWidth="1"/>
    <col min="11012" max="11012" width="4" style="120" customWidth="1"/>
    <col min="11013" max="11014" width="17.42578125" style="120" bestFit="1" customWidth="1"/>
    <col min="11015" max="11015" width="19.140625" style="120" customWidth="1"/>
    <col min="11016" max="11262" width="9.140625" style="120" customWidth="1"/>
    <col min="11263" max="11264" width="0" style="120" hidden="1"/>
    <col min="11265" max="11265" width="34.140625" style="120" customWidth="1"/>
    <col min="11266" max="11266" width="28.7109375" style="120" customWidth="1"/>
    <col min="11267" max="11267" width="32.140625" style="120" customWidth="1"/>
    <col min="11268" max="11268" width="4" style="120" customWidth="1"/>
    <col min="11269" max="11270" width="17.42578125" style="120" bestFit="1" customWidth="1"/>
    <col min="11271" max="11271" width="19.140625" style="120" customWidth="1"/>
    <col min="11272" max="11518" width="9.140625" style="120" customWidth="1"/>
    <col min="11519" max="11520" width="0" style="120" hidden="1"/>
    <col min="11521" max="11521" width="34.140625" style="120" customWidth="1"/>
    <col min="11522" max="11522" width="28.7109375" style="120" customWidth="1"/>
    <col min="11523" max="11523" width="32.140625" style="120" customWidth="1"/>
    <col min="11524" max="11524" width="4" style="120" customWidth="1"/>
    <col min="11525" max="11526" width="17.42578125" style="120" bestFit="1" customWidth="1"/>
    <col min="11527" max="11527" width="19.140625" style="120" customWidth="1"/>
    <col min="11528" max="11774" width="9.140625" style="120" customWidth="1"/>
    <col min="11775" max="11776" width="0" style="120" hidden="1"/>
    <col min="11777" max="11777" width="34.140625" style="120" customWidth="1"/>
    <col min="11778" max="11778" width="28.7109375" style="120" customWidth="1"/>
    <col min="11779" max="11779" width="32.140625" style="120" customWidth="1"/>
    <col min="11780" max="11780" width="4" style="120" customWidth="1"/>
    <col min="11781" max="11782" width="17.42578125" style="120" bestFit="1" customWidth="1"/>
    <col min="11783" max="11783" width="19.140625" style="120" customWidth="1"/>
    <col min="11784" max="12030" width="9.140625" style="120" customWidth="1"/>
    <col min="12031" max="12032" width="0" style="120" hidden="1"/>
    <col min="12033" max="12033" width="34.140625" style="120" customWidth="1"/>
    <col min="12034" max="12034" width="28.7109375" style="120" customWidth="1"/>
    <col min="12035" max="12035" width="32.140625" style="120" customWidth="1"/>
    <col min="12036" max="12036" width="4" style="120" customWidth="1"/>
    <col min="12037" max="12038" width="17.42578125" style="120" bestFit="1" customWidth="1"/>
    <col min="12039" max="12039" width="19.140625" style="120" customWidth="1"/>
    <col min="12040" max="12286" width="9.140625" style="120" customWidth="1"/>
    <col min="12287" max="12288" width="0" style="120" hidden="1"/>
    <col min="12289" max="12289" width="34.140625" style="120" customWidth="1"/>
    <col min="12290" max="12290" width="28.7109375" style="120" customWidth="1"/>
    <col min="12291" max="12291" width="32.140625" style="120" customWidth="1"/>
    <col min="12292" max="12292" width="4" style="120" customWidth="1"/>
    <col min="12293" max="12294" width="17.42578125" style="120" bestFit="1" customWidth="1"/>
    <col min="12295" max="12295" width="19.140625" style="120" customWidth="1"/>
    <col min="12296" max="12542" width="9.140625" style="120" customWidth="1"/>
    <col min="12543" max="12544" width="0" style="120" hidden="1"/>
    <col min="12545" max="12545" width="34.140625" style="120" customWidth="1"/>
    <col min="12546" max="12546" width="28.7109375" style="120" customWidth="1"/>
    <col min="12547" max="12547" width="32.140625" style="120" customWidth="1"/>
    <col min="12548" max="12548" width="4" style="120" customWidth="1"/>
    <col min="12549" max="12550" width="17.42578125" style="120" bestFit="1" customWidth="1"/>
    <col min="12551" max="12551" width="19.140625" style="120" customWidth="1"/>
    <col min="12552" max="12798" width="9.140625" style="120" customWidth="1"/>
    <col min="12799" max="12800" width="0" style="120" hidden="1"/>
    <col min="12801" max="12801" width="34.140625" style="120" customWidth="1"/>
    <col min="12802" max="12802" width="28.7109375" style="120" customWidth="1"/>
    <col min="12803" max="12803" width="32.140625" style="120" customWidth="1"/>
    <col min="12804" max="12804" width="4" style="120" customWidth="1"/>
    <col min="12805" max="12806" width="17.42578125" style="120" bestFit="1" customWidth="1"/>
    <col min="12807" max="12807" width="19.140625" style="120" customWidth="1"/>
    <col min="12808" max="13054" width="9.140625" style="120" customWidth="1"/>
    <col min="13055" max="13056" width="0" style="120" hidden="1"/>
    <col min="13057" max="13057" width="34.140625" style="120" customWidth="1"/>
    <col min="13058" max="13058" width="28.7109375" style="120" customWidth="1"/>
    <col min="13059" max="13059" width="32.140625" style="120" customWidth="1"/>
    <col min="13060" max="13060" width="4" style="120" customWidth="1"/>
    <col min="13061" max="13062" width="17.42578125" style="120" bestFit="1" customWidth="1"/>
    <col min="13063" max="13063" width="19.140625" style="120" customWidth="1"/>
    <col min="13064" max="13310" width="9.140625" style="120" customWidth="1"/>
    <col min="13311" max="13312" width="0" style="120" hidden="1"/>
    <col min="13313" max="13313" width="34.140625" style="120" customWidth="1"/>
    <col min="13314" max="13314" width="28.7109375" style="120" customWidth="1"/>
    <col min="13315" max="13315" width="32.140625" style="120" customWidth="1"/>
    <col min="13316" max="13316" width="4" style="120" customWidth="1"/>
    <col min="13317" max="13318" width="17.42578125" style="120" bestFit="1" customWidth="1"/>
    <col min="13319" max="13319" width="19.140625" style="120" customWidth="1"/>
    <col min="13320" max="13566" width="9.140625" style="120" customWidth="1"/>
    <col min="13567" max="13568" width="0" style="120" hidden="1"/>
    <col min="13569" max="13569" width="34.140625" style="120" customWidth="1"/>
    <col min="13570" max="13570" width="28.7109375" style="120" customWidth="1"/>
    <col min="13571" max="13571" width="32.140625" style="120" customWidth="1"/>
    <col min="13572" max="13572" width="4" style="120" customWidth="1"/>
    <col min="13573" max="13574" width="17.42578125" style="120" bestFit="1" customWidth="1"/>
    <col min="13575" max="13575" width="19.140625" style="120" customWidth="1"/>
    <col min="13576" max="13822" width="9.140625" style="120" customWidth="1"/>
    <col min="13823" max="13824" width="0" style="120" hidden="1"/>
    <col min="13825" max="13825" width="34.140625" style="120" customWidth="1"/>
    <col min="13826" max="13826" width="28.7109375" style="120" customWidth="1"/>
    <col min="13827" max="13827" width="32.140625" style="120" customWidth="1"/>
    <col min="13828" max="13828" width="4" style="120" customWidth="1"/>
    <col min="13829" max="13830" width="17.42578125" style="120" bestFit="1" customWidth="1"/>
    <col min="13831" max="13831" width="19.140625" style="120" customWidth="1"/>
    <col min="13832" max="14078" width="9.140625" style="120" customWidth="1"/>
    <col min="14079" max="14080" width="0" style="120" hidden="1"/>
    <col min="14081" max="14081" width="34.140625" style="120" customWidth="1"/>
    <col min="14082" max="14082" width="28.7109375" style="120" customWidth="1"/>
    <col min="14083" max="14083" width="32.140625" style="120" customWidth="1"/>
    <col min="14084" max="14084" width="4" style="120" customWidth="1"/>
    <col min="14085" max="14086" width="17.42578125" style="120" bestFit="1" customWidth="1"/>
    <col min="14087" max="14087" width="19.140625" style="120" customWidth="1"/>
    <col min="14088" max="14334" width="9.140625" style="120" customWidth="1"/>
    <col min="14335" max="14336" width="0" style="120" hidden="1"/>
    <col min="14337" max="14337" width="34.140625" style="120" customWidth="1"/>
    <col min="14338" max="14338" width="28.7109375" style="120" customWidth="1"/>
    <col min="14339" max="14339" width="32.140625" style="120" customWidth="1"/>
    <col min="14340" max="14340" width="4" style="120" customWidth="1"/>
    <col min="14341" max="14342" width="17.42578125" style="120" bestFit="1" customWidth="1"/>
    <col min="14343" max="14343" width="19.140625" style="120" customWidth="1"/>
    <col min="14344" max="14590" width="9.140625" style="120" customWidth="1"/>
    <col min="14591" max="14592" width="0" style="120" hidden="1"/>
    <col min="14593" max="14593" width="34.140625" style="120" customWidth="1"/>
    <col min="14594" max="14594" width="28.7109375" style="120" customWidth="1"/>
    <col min="14595" max="14595" width="32.140625" style="120" customWidth="1"/>
    <col min="14596" max="14596" width="4" style="120" customWidth="1"/>
    <col min="14597" max="14598" width="17.42578125" style="120" bestFit="1" customWidth="1"/>
    <col min="14599" max="14599" width="19.140625" style="120" customWidth="1"/>
    <col min="14600" max="14846" width="9.140625" style="120" customWidth="1"/>
    <col min="14847" max="14848" width="0" style="120" hidden="1"/>
    <col min="14849" max="14849" width="34.140625" style="120" customWidth="1"/>
    <col min="14850" max="14850" width="28.7109375" style="120" customWidth="1"/>
    <col min="14851" max="14851" width="32.140625" style="120" customWidth="1"/>
    <col min="14852" max="14852" width="4" style="120" customWidth="1"/>
    <col min="14853" max="14854" width="17.42578125" style="120" bestFit="1" customWidth="1"/>
    <col min="14855" max="14855" width="19.140625" style="120" customWidth="1"/>
    <col min="14856" max="15102" width="9.140625" style="120" customWidth="1"/>
    <col min="15103" max="15104" width="0" style="120" hidden="1"/>
    <col min="15105" max="15105" width="34.140625" style="120" customWidth="1"/>
    <col min="15106" max="15106" width="28.7109375" style="120" customWidth="1"/>
    <col min="15107" max="15107" width="32.140625" style="120" customWidth="1"/>
    <col min="15108" max="15108" width="4" style="120" customWidth="1"/>
    <col min="15109" max="15110" width="17.42578125" style="120" bestFit="1" customWidth="1"/>
    <col min="15111" max="15111" width="19.140625" style="120" customWidth="1"/>
    <col min="15112" max="15358" width="9.140625" style="120" customWidth="1"/>
    <col min="15359" max="15360" width="0" style="120" hidden="1"/>
    <col min="15361" max="15361" width="34.140625" style="120" customWidth="1"/>
    <col min="15362" max="15362" width="28.7109375" style="120" customWidth="1"/>
    <col min="15363" max="15363" width="32.140625" style="120" customWidth="1"/>
    <col min="15364" max="15364" width="4" style="120" customWidth="1"/>
    <col min="15365" max="15366" width="17.42578125" style="120" bestFit="1" customWidth="1"/>
    <col min="15367" max="15367" width="19.140625" style="120" customWidth="1"/>
    <col min="15368" max="15614" width="9.140625" style="120" customWidth="1"/>
    <col min="15615" max="15616" width="0" style="120" hidden="1"/>
    <col min="15617" max="15617" width="34.140625" style="120" customWidth="1"/>
    <col min="15618" max="15618" width="28.7109375" style="120" customWidth="1"/>
    <col min="15619" max="15619" width="32.140625" style="120" customWidth="1"/>
    <col min="15620" max="15620" width="4" style="120" customWidth="1"/>
    <col min="15621" max="15622" width="17.42578125" style="120" bestFit="1" customWidth="1"/>
    <col min="15623" max="15623" width="19.140625" style="120" customWidth="1"/>
    <col min="15624" max="15870" width="9.140625" style="120" customWidth="1"/>
    <col min="15871" max="15872" width="0" style="120" hidden="1"/>
    <col min="15873" max="15873" width="34.140625" style="120" customWidth="1"/>
    <col min="15874" max="15874" width="28.7109375" style="120" customWidth="1"/>
    <col min="15875" max="15875" width="32.140625" style="120" customWidth="1"/>
    <col min="15876" max="15876" width="4" style="120" customWidth="1"/>
    <col min="15877" max="15878" width="17.42578125" style="120" bestFit="1" customWidth="1"/>
    <col min="15879" max="15879" width="19.140625" style="120" customWidth="1"/>
    <col min="15880" max="16126" width="9.140625" style="120" customWidth="1"/>
    <col min="16127" max="16128" width="0" style="120" hidden="1"/>
    <col min="16129" max="16129" width="34.140625" style="120" customWidth="1"/>
    <col min="16130" max="16130" width="28.7109375" style="120" customWidth="1"/>
    <col min="16131" max="16131" width="32.140625" style="120" customWidth="1"/>
    <col min="16132" max="16132" width="4" style="120" customWidth="1"/>
    <col min="16133" max="16134" width="17.42578125" style="120" bestFit="1" customWidth="1"/>
    <col min="16135" max="16135" width="19.140625" style="120" customWidth="1"/>
    <col min="16136" max="16382" width="9.140625" style="120" customWidth="1"/>
    <col min="16383" max="16384" width="0" style="120" hidden="1"/>
  </cols>
  <sheetData>
    <row r="1" spans="1:10" s="100" customFormat="1" ht="16.5" thickTop="1">
      <c r="A1" s="252" t="s">
        <v>166</v>
      </c>
      <c r="B1" s="253"/>
      <c r="C1" s="253"/>
      <c r="D1" s="253"/>
      <c r="E1" s="253"/>
      <c r="F1" s="253"/>
      <c r="G1" s="253"/>
      <c r="H1" s="253"/>
      <c r="I1" s="253"/>
      <c r="J1" s="254"/>
    </row>
    <row r="2" spans="1:10" s="100" customFormat="1" ht="15.75">
      <c r="A2" s="255"/>
      <c r="B2" s="256"/>
      <c r="C2" s="256"/>
      <c r="D2" s="256"/>
      <c r="E2" s="256"/>
      <c r="F2" s="256"/>
      <c r="G2" s="256"/>
      <c r="H2" s="256"/>
      <c r="I2" s="256"/>
      <c r="J2" s="257"/>
    </row>
    <row r="3" spans="1:10" s="100" customFormat="1" ht="15.75">
      <c r="A3" s="255"/>
      <c r="B3" s="256"/>
      <c r="C3" s="256"/>
      <c r="D3" s="256"/>
      <c r="E3" s="256"/>
      <c r="F3" s="256"/>
      <c r="G3" s="256"/>
      <c r="H3" s="256"/>
      <c r="I3" s="256"/>
      <c r="J3" s="257"/>
    </row>
    <row r="4" spans="1:10" s="100" customFormat="1" ht="15.75">
      <c r="A4" s="255"/>
      <c r="B4" s="256"/>
      <c r="C4" s="256"/>
      <c r="D4" s="256"/>
      <c r="E4" s="256"/>
      <c r="F4" s="256"/>
      <c r="G4" s="256"/>
      <c r="H4" s="256"/>
      <c r="I4" s="256"/>
      <c r="J4" s="257"/>
    </row>
    <row r="5" spans="1:10" s="100" customFormat="1" ht="15.75">
      <c r="A5" s="255"/>
      <c r="B5" s="256"/>
      <c r="C5" s="256"/>
      <c r="D5" s="256"/>
      <c r="E5" s="256"/>
      <c r="F5" s="256"/>
      <c r="G5" s="256"/>
      <c r="H5" s="256"/>
      <c r="I5" s="256"/>
      <c r="J5" s="257"/>
    </row>
    <row r="6" spans="1:10" s="100" customFormat="1" ht="15.75">
      <c r="A6" s="101"/>
      <c r="B6" s="102"/>
      <c r="C6" s="102"/>
      <c r="D6" s="102"/>
      <c r="E6" s="102"/>
      <c r="F6" s="102"/>
      <c r="G6" s="102"/>
      <c r="H6" s="102"/>
      <c r="I6" s="102"/>
      <c r="J6" s="103"/>
    </row>
    <row r="7" spans="1:10" s="100" customFormat="1" ht="16.5" thickBot="1">
      <c r="A7" s="104"/>
      <c r="B7" s="105"/>
      <c r="C7" s="105"/>
      <c r="D7" s="105"/>
      <c r="E7" s="105"/>
      <c r="F7" s="105"/>
      <c r="G7" s="105"/>
      <c r="H7" s="105"/>
      <c r="I7" s="105"/>
      <c r="J7" s="106"/>
    </row>
    <row r="8" spans="1:10" s="100" customFormat="1" ht="16.5" thickTop="1">
      <c r="A8" s="107"/>
      <c r="B8" s="108"/>
      <c r="C8" s="108"/>
      <c r="D8" s="108"/>
      <c r="E8" s="108"/>
      <c r="F8" s="108"/>
      <c r="G8" s="108"/>
      <c r="H8" s="108"/>
      <c r="I8" s="108"/>
      <c r="J8" s="109"/>
    </row>
    <row r="9" spans="1:10" s="100" customFormat="1" ht="15.75">
      <c r="A9" s="258" t="s">
        <v>167</v>
      </c>
      <c r="B9" s="259"/>
      <c r="C9" s="259"/>
      <c r="D9" s="259"/>
      <c r="E9" s="259"/>
      <c r="F9" s="259"/>
      <c r="G9" s="259"/>
      <c r="H9" s="259"/>
      <c r="I9" s="259"/>
      <c r="J9" s="260"/>
    </row>
    <row r="10" spans="1:10" s="100" customFormat="1" ht="25.5" customHeight="1">
      <c r="A10" s="261" t="s">
        <v>219</v>
      </c>
      <c r="B10" s="262"/>
      <c r="C10" s="262"/>
      <c r="D10" s="262"/>
      <c r="E10" s="262"/>
      <c r="F10" s="262"/>
      <c r="G10" s="262"/>
      <c r="H10" s="262"/>
      <c r="I10" s="262"/>
      <c r="J10" s="263"/>
    </row>
    <row r="11" spans="1:10" s="100" customFormat="1" ht="27.75" customHeight="1">
      <c r="A11" s="261"/>
      <c r="B11" s="262"/>
      <c r="C11" s="262"/>
      <c r="D11" s="262"/>
      <c r="E11" s="262"/>
      <c r="F11" s="262"/>
      <c r="G11" s="262"/>
      <c r="H11" s="262"/>
      <c r="I11" s="262"/>
      <c r="J11" s="263"/>
    </row>
    <row r="12" spans="1:10" s="100" customFormat="1" ht="16.5" thickBot="1">
      <c r="A12" s="110"/>
      <c r="B12" s="111"/>
      <c r="C12" s="111"/>
      <c r="D12" s="111"/>
      <c r="E12" s="111"/>
      <c r="F12" s="111"/>
      <c r="G12" s="111"/>
      <c r="H12" s="111"/>
      <c r="I12" s="111"/>
      <c r="J12" s="112"/>
    </row>
    <row r="13" spans="1:10" s="100" customFormat="1" ht="16.5" thickTop="1">
      <c r="A13" s="113"/>
      <c r="B13" s="114"/>
      <c r="C13" s="114"/>
      <c r="D13" s="114"/>
      <c r="E13" s="114"/>
      <c r="F13" s="114"/>
      <c r="G13" s="114"/>
      <c r="H13" s="114"/>
      <c r="I13" s="114"/>
      <c r="J13" s="115"/>
    </row>
    <row r="14" spans="1:10" s="100" customFormat="1" ht="15.75">
      <c r="A14" s="258" t="s">
        <v>168</v>
      </c>
      <c r="B14" s="259"/>
      <c r="C14" s="259"/>
      <c r="D14" s="259"/>
      <c r="E14" s="259"/>
      <c r="F14" s="259"/>
      <c r="G14" s="259"/>
      <c r="H14" s="259"/>
      <c r="I14" s="259"/>
      <c r="J14" s="260"/>
    </row>
    <row r="15" spans="1:10" s="100" customFormat="1" ht="26.25">
      <c r="A15" s="249" t="s">
        <v>170</v>
      </c>
      <c r="B15" s="250"/>
      <c r="C15" s="250"/>
      <c r="D15" s="250"/>
      <c r="E15" s="250"/>
      <c r="F15" s="250"/>
      <c r="G15" s="250"/>
      <c r="H15" s="250"/>
      <c r="I15" s="250"/>
      <c r="J15" s="251"/>
    </row>
    <row r="16" spans="1:10" s="116" customFormat="1" ht="15.75">
      <c r="A16" s="258" t="s">
        <v>171</v>
      </c>
      <c r="B16" s="259"/>
      <c r="C16" s="259"/>
      <c r="D16" s="259"/>
      <c r="E16" s="259"/>
      <c r="F16" s="259"/>
      <c r="G16" s="259"/>
      <c r="H16" s="259"/>
      <c r="I16" s="259"/>
      <c r="J16" s="260"/>
    </row>
    <row r="17" spans="1:10" s="100" customFormat="1" ht="26.25">
      <c r="A17" s="249" t="s">
        <v>124</v>
      </c>
      <c r="B17" s="250"/>
      <c r="C17" s="250"/>
      <c r="D17" s="250"/>
      <c r="E17" s="250"/>
      <c r="F17" s="250"/>
      <c r="G17" s="250"/>
      <c r="H17" s="250"/>
      <c r="I17" s="250"/>
      <c r="J17" s="251"/>
    </row>
    <row r="18" spans="1:10" s="100" customFormat="1" ht="16.5" thickBot="1">
      <c r="A18" s="117"/>
      <c r="B18" s="118"/>
      <c r="C18" s="118"/>
      <c r="D18" s="118"/>
      <c r="E18" s="118"/>
      <c r="F18" s="118"/>
      <c r="G18" s="118"/>
      <c r="H18" s="118"/>
      <c r="I18" s="118"/>
      <c r="J18" s="119"/>
    </row>
    <row r="19" spans="1:10" s="100" customFormat="1" ht="16.5" thickTop="1">
      <c r="A19" s="237"/>
      <c r="B19" s="238"/>
      <c r="C19" s="238"/>
      <c r="D19" s="238"/>
      <c r="E19" s="238"/>
      <c r="F19" s="238"/>
      <c r="G19" s="238"/>
      <c r="H19" s="238"/>
      <c r="I19" s="238"/>
      <c r="J19" s="238"/>
    </row>
    <row r="20" spans="1:10" s="100" customFormat="1" ht="15.75">
      <c r="A20" s="239"/>
      <c r="B20" s="240"/>
      <c r="C20" s="240"/>
      <c r="D20" s="240"/>
      <c r="E20" s="240"/>
      <c r="F20" s="240"/>
      <c r="G20" s="240"/>
      <c r="H20" s="240"/>
      <c r="I20" s="240"/>
      <c r="J20" s="240"/>
    </row>
    <row r="21" spans="1:10" s="100" customFormat="1" ht="15.75">
      <c r="A21" s="239"/>
      <c r="B21" s="240"/>
      <c r="C21" s="240"/>
      <c r="D21" s="240"/>
      <c r="E21" s="240"/>
      <c r="F21" s="240"/>
      <c r="G21" s="240"/>
      <c r="H21" s="240"/>
      <c r="I21" s="240"/>
      <c r="J21" s="240"/>
    </row>
    <row r="22" spans="1:10" s="100" customFormat="1" ht="15.75">
      <c r="A22" s="239"/>
      <c r="B22" s="240"/>
      <c r="C22" s="240"/>
      <c r="D22" s="240"/>
      <c r="E22" s="240"/>
      <c r="F22" s="240"/>
      <c r="G22" s="240"/>
      <c r="H22" s="240"/>
      <c r="I22" s="240"/>
      <c r="J22" s="240"/>
    </row>
    <row r="23" spans="1:10" s="100" customFormat="1" ht="15.75">
      <c r="A23" s="239"/>
      <c r="B23" s="240"/>
      <c r="C23" s="240"/>
      <c r="D23" s="240"/>
      <c r="E23" s="240"/>
      <c r="F23" s="240"/>
      <c r="G23" s="240"/>
      <c r="H23" s="240"/>
      <c r="I23" s="240"/>
      <c r="J23" s="240"/>
    </row>
    <row r="24" spans="1:10" s="100" customFormat="1" ht="15.75">
      <c r="A24" s="239"/>
      <c r="B24" s="240"/>
      <c r="C24" s="240"/>
      <c r="D24" s="240"/>
      <c r="E24" s="240"/>
      <c r="F24" s="240"/>
      <c r="G24" s="240"/>
      <c r="H24" s="240"/>
      <c r="I24" s="240"/>
      <c r="J24" s="240"/>
    </row>
    <row r="25" spans="1:10" s="100" customFormat="1" ht="15.75">
      <c r="A25" s="239"/>
      <c r="B25" s="240"/>
      <c r="C25" s="240"/>
      <c r="D25" s="240"/>
      <c r="E25" s="240"/>
      <c r="F25" s="240"/>
      <c r="G25" s="240"/>
      <c r="H25" s="240"/>
      <c r="I25" s="240"/>
      <c r="J25" s="240"/>
    </row>
    <row r="26" spans="1:10" s="100" customFormat="1" ht="23.25" customHeight="1">
      <c r="A26" s="239"/>
      <c r="B26" s="240"/>
      <c r="C26" s="240"/>
      <c r="D26" s="240"/>
      <c r="E26" s="240"/>
      <c r="F26" s="240"/>
      <c r="G26" s="240"/>
      <c r="H26" s="240"/>
      <c r="I26" s="240"/>
      <c r="J26" s="240"/>
    </row>
    <row r="27" spans="1:10" s="100" customFormat="1" ht="23.25" customHeight="1">
      <c r="A27" s="239"/>
      <c r="B27" s="240"/>
      <c r="C27" s="240"/>
      <c r="D27" s="240"/>
      <c r="E27" s="240"/>
      <c r="F27" s="240"/>
      <c r="G27" s="240"/>
      <c r="H27" s="240"/>
      <c r="I27" s="240"/>
      <c r="J27" s="240"/>
    </row>
    <row r="28" spans="1:10" s="100" customFormat="1" ht="23.25" customHeight="1">
      <c r="A28" s="239"/>
      <c r="B28" s="240"/>
      <c r="C28" s="240"/>
      <c r="D28" s="240"/>
      <c r="E28" s="240"/>
      <c r="F28" s="240"/>
      <c r="G28" s="240"/>
      <c r="H28" s="240"/>
      <c r="I28" s="240"/>
      <c r="J28" s="240"/>
    </row>
    <row r="29" spans="1:10" s="100" customFormat="1" ht="23.25" customHeight="1">
      <c r="A29" s="239"/>
      <c r="B29" s="240"/>
      <c r="C29" s="240"/>
      <c r="D29" s="240"/>
      <c r="E29" s="240"/>
      <c r="F29" s="240"/>
      <c r="G29" s="240"/>
      <c r="H29" s="240"/>
      <c r="I29" s="240"/>
      <c r="J29" s="240"/>
    </row>
    <row r="30" spans="1:10" s="100" customFormat="1" ht="23.25" customHeight="1">
      <c r="A30" s="239"/>
      <c r="B30" s="240"/>
      <c r="C30" s="240"/>
      <c r="D30" s="240"/>
      <c r="E30" s="240"/>
      <c r="F30" s="240"/>
      <c r="G30" s="240"/>
      <c r="H30" s="240"/>
      <c r="I30" s="240"/>
      <c r="J30" s="240"/>
    </row>
    <row r="31" spans="1:10" ht="23.25" customHeight="1">
      <c r="A31" s="239"/>
      <c r="B31" s="240"/>
      <c r="C31" s="240"/>
      <c r="D31" s="240"/>
      <c r="E31" s="240"/>
      <c r="F31" s="240"/>
      <c r="G31" s="240"/>
      <c r="H31" s="240"/>
      <c r="I31" s="240"/>
      <c r="J31" s="240"/>
    </row>
    <row r="32" spans="1:10" ht="23.25" customHeight="1">
      <c r="A32" s="239"/>
      <c r="B32" s="240"/>
      <c r="C32" s="240"/>
      <c r="D32" s="240"/>
      <c r="E32" s="240"/>
      <c r="F32" s="240"/>
      <c r="G32" s="240"/>
      <c r="H32" s="240"/>
      <c r="I32" s="240"/>
      <c r="J32" s="240"/>
    </row>
    <row r="33" spans="1:10" ht="23.25" customHeight="1">
      <c r="A33" s="239"/>
      <c r="B33" s="240"/>
      <c r="C33" s="240"/>
      <c r="D33" s="240"/>
      <c r="E33" s="240"/>
      <c r="F33" s="240"/>
      <c r="G33" s="240"/>
      <c r="H33" s="240"/>
      <c r="I33" s="240"/>
      <c r="J33" s="240"/>
    </row>
    <row r="34" spans="1:10" ht="15" customHeight="1">
      <c r="A34" s="239"/>
      <c r="B34" s="240"/>
      <c r="C34" s="240"/>
      <c r="D34" s="240"/>
      <c r="E34" s="240"/>
      <c r="F34" s="240"/>
      <c r="G34" s="240"/>
      <c r="H34" s="240"/>
      <c r="I34" s="240"/>
      <c r="J34" s="240"/>
    </row>
    <row r="35" spans="1:10" ht="15" customHeight="1">
      <c r="A35" s="239"/>
      <c r="B35" s="240"/>
      <c r="C35" s="240"/>
      <c r="D35" s="240"/>
      <c r="E35" s="240"/>
      <c r="F35" s="240"/>
      <c r="G35" s="240"/>
      <c r="H35" s="240"/>
      <c r="I35" s="240"/>
      <c r="J35" s="240"/>
    </row>
    <row r="36" spans="1:10" ht="15.75" customHeight="1">
      <c r="A36" s="239"/>
      <c r="B36" s="240"/>
      <c r="C36" s="240"/>
      <c r="D36" s="240"/>
      <c r="E36" s="240"/>
      <c r="F36" s="240"/>
      <c r="G36" s="240"/>
      <c r="H36" s="240"/>
      <c r="I36" s="240"/>
      <c r="J36" s="240"/>
    </row>
    <row r="37" spans="1:10" ht="15.75" customHeight="1">
      <c r="A37" s="239"/>
      <c r="B37" s="240"/>
      <c r="C37" s="240"/>
      <c r="D37" s="240"/>
      <c r="E37" s="240"/>
      <c r="F37" s="240"/>
      <c r="G37" s="240"/>
      <c r="H37" s="240"/>
      <c r="I37" s="240"/>
      <c r="J37" s="240"/>
    </row>
    <row r="38" spans="1:10" ht="16.5" customHeight="1" thickBot="1">
      <c r="A38" s="241"/>
      <c r="B38" s="242"/>
      <c r="C38" s="242"/>
      <c r="D38" s="242"/>
      <c r="E38" s="242"/>
      <c r="F38" s="242"/>
      <c r="G38" s="242"/>
      <c r="H38" s="242"/>
      <c r="I38" s="242"/>
      <c r="J38" s="242"/>
    </row>
    <row r="39" spans="1:10" ht="16.5" thickTop="1">
      <c r="A39" s="121"/>
      <c r="B39" s="122"/>
      <c r="C39" s="122"/>
      <c r="D39" s="122"/>
      <c r="E39" s="122"/>
      <c r="F39" s="122"/>
      <c r="G39" s="122"/>
      <c r="H39" s="122"/>
      <c r="I39" s="122"/>
      <c r="J39" s="123"/>
    </row>
    <row r="40" spans="1:10">
      <c r="A40" s="124"/>
      <c r="B40" s="125"/>
      <c r="C40" s="125"/>
      <c r="D40" s="125"/>
      <c r="E40" s="125"/>
      <c r="F40" s="125"/>
      <c r="G40" s="125"/>
      <c r="H40" s="125"/>
      <c r="I40" s="125"/>
      <c r="J40" s="126"/>
    </row>
    <row r="41" spans="1:10" ht="18.75">
      <c r="A41" s="243" t="s">
        <v>169</v>
      </c>
      <c r="B41" s="244"/>
      <c r="C41" s="244"/>
      <c r="D41" s="244"/>
      <c r="E41" s="244"/>
      <c r="F41" s="244"/>
      <c r="G41" s="244"/>
      <c r="H41" s="244"/>
      <c r="I41" s="244"/>
      <c r="J41" s="245"/>
    </row>
    <row r="42" spans="1:10" ht="19.5" thickBot="1">
      <c r="A42" s="246">
        <v>45036</v>
      </c>
      <c r="B42" s="247"/>
      <c r="C42" s="247"/>
      <c r="D42" s="247"/>
      <c r="E42" s="247"/>
      <c r="F42" s="247"/>
      <c r="G42" s="247"/>
      <c r="H42" s="247"/>
      <c r="I42" s="247"/>
      <c r="J42" s="248"/>
    </row>
    <row r="43" spans="1:10" ht="15.75" thickTop="1"/>
  </sheetData>
  <sheetProtection algorithmName="SHA-512" hashValue="JgK0R+ST4akpBlY1C/H8pnoNEHY4LVBy3J3jtPsl8cnDvVzhxi17eLLRNrlfHEs/QFbpKwd/z6/QvZab9N8+6A==" saltValue="mSud/p7tGQZPjxKpGHxGhA==" spinCount="100000" sheet="1" objects="1" scenarios="1"/>
  <mergeCells count="10">
    <mergeCell ref="A19:J38"/>
    <mergeCell ref="A41:J41"/>
    <mergeCell ref="A42:J42"/>
    <mergeCell ref="A17:J17"/>
    <mergeCell ref="A1:J5"/>
    <mergeCell ref="A9:J9"/>
    <mergeCell ref="A10:J11"/>
    <mergeCell ref="A14:J14"/>
    <mergeCell ref="A15:J15"/>
    <mergeCell ref="A16:J16"/>
  </mergeCells>
  <pageMargins left="0.7" right="0.7" top="0.53" bottom="0.5" header="0.3" footer="0.3"/>
  <pageSetup scale="94" firstPageNumber="0" orientation="portrait" horizontalDpi="3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A9" sqref="A9"/>
    </sheetView>
  </sheetViews>
  <sheetFormatPr defaultColWidth="8" defaultRowHeight="15.75"/>
  <cols>
    <col min="1" max="1" width="109.42578125" style="131" customWidth="1"/>
    <col min="2" max="5" width="1" style="129" customWidth="1"/>
    <col min="6" max="6" width="5" style="129" customWidth="1"/>
    <col min="7" max="9" width="1" style="129" customWidth="1"/>
    <col min="10" max="10" width="1.7109375" style="129" customWidth="1"/>
    <col min="11" max="11" width="1" style="129" customWidth="1"/>
    <col min="12" max="12" width="17" style="129" customWidth="1"/>
    <col min="13" max="13" width="9.7109375" style="129" customWidth="1"/>
    <col min="14" max="14" width="1" style="129" customWidth="1"/>
    <col min="15" max="16" width="1.7109375" style="129" customWidth="1"/>
    <col min="17" max="17" width="4" style="129" customWidth="1"/>
    <col min="18" max="18" width="2.7109375" style="129" customWidth="1"/>
    <col min="19" max="22" width="1" style="129" customWidth="1"/>
    <col min="23" max="24" width="1.7109375" style="129" customWidth="1"/>
    <col min="25" max="26" width="1" style="129" customWidth="1"/>
    <col min="27" max="28" width="1.7109375" style="129" customWidth="1"/>
    <col min="29" max="29" width="2.7109375" style="129" customWidth="1"/>
    <col min="30" max="34" width="1" style="129" customWidth="1"/>
    <col min="35" max="35" width="2.7109375" style="129" customWidth="1"/>
    <col min="36" max="36" width="1" style="129" customWidth="1"/>
    <col min="37" max="37" width="2.7109375" style="129" customWidth="1"/>
    <col min="38" max="38" width="1" style="129" customWidth="1"/>
    <col min="39" max="39" width="2.7109375" style="129" customWidth="1"/>
    <col min="40" max="43" width="1" style="129" customWidth="1"/>
    <col min="44" max="47" width="1.7109375" style="129" customWidth="1"/>
    <col min="48" max="48" width="1" style="129" customWidth="1"/>
    <col min="49" max="49" width="1.7109375" style="129" customWidth="1"/>
    <col min="50" max="51" width="1" style="129" customWidth="1"/>
    <col min="52" max="52" width="1.7109375" style="129" customWidth="1"/>
    <col min="53" max="53" width="5" style="129" customWidth="1"/>
    <col min="54" max="54" width="1" style="129" customWidth="1"/>
    <col min="55" max="55" width="4" style="129" customWidth="1"/>
    <col min="56" max="56" width="1" style="129" customWidth="1"/>
    <col min="57" max="57" width="2.7109375" style="129" customWidth="1"/>
    <col min="58" max="58" width="1" style="129" customWidth="1"/>
    <col min="59" max="60" width="1.7109375" style="129" customWidth="1"/>
    <col min="61" max="61" width="2.7109375" style="129" customWidth="1"/>
    <col min="62" max="63" width="1.7109375" style="129" customWidth="1"/>
    <col min="64" max="66" width="1" style="129" customWidth="1"/>
    <col min="67" max="67" width="1.7109375" style="129" customWidth="1"/>
    <col min="68" max="68" width="1" style="129" customWidth="1"/>
    <col min="69" max="69" width="2.7109375" style="129" customWidth="1"/>
    <col min="70" max="70" width="1.7109375" style="129" customWidth="1"/>
    <col min="71" max="71" width="1" style="129" customWidth="1"/>
    <col min="72" max="72" width="2.7109375" style="129" customWidth="1"/>
    <col min="73" max="73" width="1.7109375" style="129" customWidth="1"/>
    <col min="74" max="74" width="1" style="129" customWidth="1"/>
    <col min="75" max="75" width="1.7109375" style="129" customWidth="1"/>
    <col min="76" max="79" width="1" style="129" customWidth="1"/>
    <col min="80" max="16384" width="8" style="129"/>
  </cols>
  <sheetData>
    <row r="1" spans="1:1">
      <c r="A1" s="128"/>
    </row>
    <row r="2" spans="1:1">
      <c r="A2" s="130" t="s">
        <v>172</v>
      </c>
    </row>
    <row r="3" spans="1:1">
      <c r="A3" s="128" t="s">
        <v>173</v>
      </c>
    </row>
    <row r="4" spans="1:1">
      <c r="A4" s="128" t="s">
        <v>174</v>
      </c>
    </row>
    <row r="5" spans="1:1">
      <c r="A5" s="128" t="s">
        <v>175</v>
      </c>
    </row>
    <row r="6" spans="1:1" ht="78.75">
      <c r="A6" s="128" t="s">
        <v>176</v>
      </c>
    </row>
    <row r="7" spans="1:1" ht="47.25">
      <c r="A7" s="128" t="s">
        <v>177</v>
      </c>
    </row>
    <row r="8" spans="1:1" ht="47.25">
      <c r="A8" s="128" t="s">
        <v>178</v>
      </c>
    </row>
    <row r="9" spans="1:1">
      <c r="A9" s="128" t="s">
        <v>179</v>
      </c>
    </row>
    <row r="10" spans="1:1" ht="31.5">
      <c r="A10" s="128" t="s">
        <v>180</v>
      </c>
    </row>
    <row r="11" spans="1:1" ht="31.5">
      <c r="A11" s="128" t="s">
        <v>181</v>
      </c>
    </row>
    <row r="12" spans="1:1" ht="47.25">
      <c r="A12" s="128" t="s">
        <v>182</v>
      </c>
    </row>
    <row r="13" spans="1:1">
      <c r="A13" s="128" t="s">
        <v>183</v>
      </c>
    </row>
    <row r="14" spans="1:1" ht="47.25">
      <c r="A14" s="128" t="s">
        <v>184</v>
      </c>
    </row>
    <row r="15" spans="1:1" ht="31.5">
      <c r="A15" s="128" t="s">
        <v>185</v>
      </c>
    </row>
    <row r="16" spans="1:1">
      <c r="A16" s="128" t="s">
        <v>186</v>
      </c>
    </row>
    <row r="17" spans="1:1">
      <c r="A17" s="128" t="s">
        <v>187</v>
      </c>
    </row>
    <row r="18" spans="1:1">
      <c r="A18" s="128" t="s">
        <v>188</v>
      </c>
    </row>
    <row r="19" spans="1:1">
      <c r="A19" s="128" t="s">
        <v>189</v>
      </c>
    </row>
    <row r="20" spans="1:1">
      <c r="A20" s="128" t="s">
        <v>190</v>
      </c>
    </row>
    <row r="21" spans="1:1" ht="31.5">
      <c r="A21" s="128" t="s">
        <v>191</v>
      </c>
    </row>
    <row r="22" spans="1:1" ht="47.25">
      <c r="A22" s="131" t="s">
        <v>192</v>
      </c>
    </row>
    <row r="23" spans="1:1">
      <c r="A23" s="128" t="s">
        <v>193</v>
      </c>
    </row>
    <row r="24" spans="1:1" ht="31.5">
      <c r="A24" s="128" t="s">
        <v>194</v>
      </c>
    </row>
    <row r="25" spans="1:1" ht="31.5">
      <c r="A25" s="128" t="s">
        <v>195</v>
      </c>
    </row>
    <row r="26" spans="1:1">
      <c r="A26" s="128" t="s">
        <v>196</v>
      </c>
    </row>
    <row r="27" spans="1:1" ht="31.5">
      <c r="A27" s="128" t="s">
        <v>197</v>
      </c>
    </row>
    <row r="28" spans="1:1">
      <c r="A28" s="128" t="s">
        <v>198</v>
      </c>
    </row>
    <row r="29" spans="1:1">
      <c r="A29" s="128" t="s">
        <v>199</v>
      </c>
    </row>
    <row r="30" spans="1:1">
      <c r="A30" s="128" t="s">
        <v>200</v>
      </c>
    </row>
    <row r="31" spans="1:1" ht="31.5">
      <c r="A31" s="128" t="s">
        <v>201</v>
      </c>
    </row>
    <row r="32" spans="1:1" ht="47.25">
      <c r="A32" s="128" t="s">
        <v>202</v>
      </c>
    </row>
    <row r="33" spans="1:1" ht="31.5">
      <c r="A33" s="128" t="s">
        <v>203</v>
      </c>
    </row>
    <row r="34" spans="1:1" ht="47.25">
      <c r="A34" s="128" t="s">
        <v>204</v>
      </c>
    </row>
    <row r="35" spans="1:1" ht="31.5">
      <c r="A35" s="128" t="s">
        <v>205</v>
      </c>
    </row>
    <row r="36" spans="1:1" ht="47.25">
      <c r="A36" s="128" t="s">
        <v>206</v>
      </c>
    </row>
    <row r="37" spans="1:1" ht="47.25">
      <c r="A37" s="128" t="s">
        <v>207</v>
      </c>
    </row>
    <row r="38" spans="1:1" ht="63">
      <c r="A38" s="128" t="s">
        <v>208</v>
      </c>
    </row>
    <row r="39" spans="1:1" ht="47.25">
      <c r="A39" s="128" t="s">
        <v>209</v>
      </c>
    </row>
    <row r="40" spans="1:1" ht="31.5">
      <c r="A40" s="128" t="s">
        <v>210</v>
      </c>
    </row>
  </sheetData>
  <sheetProtection algorithmName="SHA-512" hashValue="MApwyFqZC75ungR9TXYymS980Ye6I2CQoSWtnYr5EJ5GZm6QZFJ0MTgTI5TW64QiWox6Xp6vTy1HRHAuFeFtxw==" saltValue="LntFYrPzORLMPcXniGU00A=="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32"/>
  <sheetViews>
    <sheetView topLeftCell="A4" zoomScaleNormal="100" workbookViewId="0">
      <selection activeCell="G20" sqref="G20"/>
    </sheetView>
  </sheetViews>
  <sheetFormatPr defaultColWidth="8.7109375" defaultRowHeight="23.25"/>
  <cols>
    <col min="1" max="1" width="77.42578125" style="1" bestFit="1" customWidth="1"/>
    <col min="2" max="2" width="13.42578125" style="22" customWidth="1"/>
    <col min="3" max="3" width="29.42578125" style="1" bestFit="1" customWidth="1"/>
    <col min="4" max="4" width="18.42578125" style="1" bestFit="1" customWidth="1"/>
    <col min="5" max="5" width="13.42578125" style="1" bestFit="1" customWidth="1"/>
    <col min="6" max="6" width="18.28515625" style="1" bestFit="1" customWidth="1"/>
    <col min="7" max="249" width="9.140625" style="1"/>
    <col min="250" max="250" width="13.42578125" style="1" customWidth="1"/>
    <col min="251" max="251" width="71.7109375" style="1" customWidth="1"/>
    <col min="252" max="252" width="8" style="1" customWidth="1"/>
    <col min="253" max="253" width="10.42578125" style="1" customWidth="1"/>
    <col min="254" max="254" width="17.140625" style="1" customWidth="1"/>
    <col min="255" max="255" width="22" style="1" customWidth="1"/>
    <col min="256" max="256" width="9.140625" style="1"/>
    <col min="257" max="257" width="9.42578125" style="1" customWidth="1"/>
    <col min="258" max="260" width="14.42578125" style="1" bestFit="1" customWidth="1"/>
    <col min="261" max="261" width="10.7109375" style="1" bestFit="1" customWidth="1"/>
    <col min="262" max="262" width="12.42578125" style="1" bestFit="1" customWidth="1"/>
    <col min="263" max="505" width="9.140625" style="1"/>
    <col min="506" max="506" width="13.42578125" style="1" customWidth="1"/>
    <col min="507" max="507" width="71.7109375" style="1" customWidth="1"/>
    <col min="508" max="508" width="8" style="1" customWidth="1"/>
    <col min="509" max="509" width="10.42578125" style="1" customWidth="1"/>
    <col min="510" max="510" width="17.140625" style="1" customWidth="1"/>
    <col min="511" max="511" width="22" style="1" customWidth="1"/>
    <col min="512" max="512" width="9.140625" style="1"/>
    <col min="513" max="513" width="9.42578125" style="1" customWidth="1"/>
    <col min="514" max="516" width="14.42578125" style="1" bestFit="1" customWidth="1"/>
    <col min="517" max="517" width="10.7109375" style="1" bestFit="1" customWidth="1"/>
    <col min="518" max="518" width="12.42578125" style="1" bestFit="1" customWidth="1"/>
    <col min="519" max="761" width="9.140625" style="1"/>
    <col min="762" max="762" width="13.42578125" style="1" customWidth="1"/>
    <col min="763" max="763" width="71.7109375" style="1" customWidth="1"/>
    <col min="764" max="764" width="8" style="1" customWidth="1"/>
    <col min="765" max="765" width="10.42578125" style="1" customWidth="1"/>
    <col min="766" max="766" width="17.140625" style="1" customWidth="1"/>
    <col min="767" max="767" width="22" style="1" customWidth="1"/>
    <col min="768" max="768" width="9.140625" style="1"/>
    <col min="769" max="769" width="9.42578125" style="1" customWidth="1"/>
    <col min="770" max="772" width="14.42578125" style="1" bestFit="1" customWidth="1"/>
    <col min="773" max="773" width="10.7109375" style="1" bestFit="1" customWidth="1"/>
    <col min="774" max="774" width="12.42578125" style="1" bestFit="1" customWidth="1"/>
    <col min="775" max="1017" width="9.140625" style="1"/>
    <col min="1018" max="1018" width="13.42578125" style="1" customWidth="1"/>
    <col min="1019" max="1019" width="71.7109375" style="1" customWidth="1"/>
    <col min="1020" max="1020" width="8" style="1" customWidth="1"/>
    <col min="1021" max="1021" width="10.42578125" style="1" customWidth="1"/>
    <col min="1022" max="1022" width="17.140625" style="1" customWidth="1"/>
    <col min="1023" max="1023" width="22" style="1" customWidth="1"/>
    <col min="1024" max="1024" width="9.140625" style="1"/>
    <col min="1025" max="1025" width="9.42578125" style="1" customWidth="1"/>
    <col min="1026" max="1028" width="14.42578125" style="1" bestFit="1" customWidth="1"/>
    <col min="1029" max="1029" width="10.7109375" style="1" bestFit="1" customWidth="1"/>
    <col min="1030" max="1030" width="12.42578125" style="1" bestFit="1" customWidth="1"/>
    <col min="1031" max="1273" width="9.140625" style="1"/>
    <col min="1274" max="1274" width="13.42578125" style="1" customWidth="1"/>
    <col min="1275" max="1275" width="71.7109375" style="1" customWidth="1"/>
    <col min="1276" max="1276" width="8" style="1" customWidth="1"/>
    <col min="1277" max="1277" width="10.42578125" style="1" customWidth="1"/>
    <col min="1278" max="1278" width="17.140625" style="1" customWidth="1"/>
    <col min="1279" max="1279" width="22" style="1" customWidth="1"/>
    <col min="1280" max="1280" width="9.140625" style="1"/>
    <col min="1281" max="1281" width="9.42578125" style="1" customWidth="1"/>
    <col min="1282" max="1284" width="14.42578125" style="1" bestFit="1" customWidth="1"/>
    <col min="1285" max="1285" width="10.7109375" style="1" bestFit="1" customWidth="1"/>
    <col min="1286" max="1286" width="12.42578125" style="1" bestFit="1" customWidth="1"/>
    <col min="1287" max="1529" width="9.140625" style="1"/>
    <col min="1530" max="1530" width="13.42578125" style="1" customWidth="1"/>
    <col min="1531" max="1531" width="71.7109375" style="1" customWidth="1"/>
    <col min="1532" max="1532" width="8" style="1" customWidth="1"/>
    <col min="1533" max="1533" width="10.42578125" style="1" customWidth="1"/>
    <col min="1534" max="1534" width="17.140625" style="1" customWidth="1"/>
    <col min="1535" max="1535" width="22" style="1" customWidth="1"/>
    <col min="1536" max="1536" width="9.140625" style="1"/>
    <col min="1537" max="1537" width="9.42578125" style="1" customWidth="1"/>
    <col min="1538" max="1540" width="14.42578125" style="1" bestFit="1" customWidth="1"/>
    <col min="1541" max="1541" width="10.7109375" style="1" bestFit="1" customWidth="1"/>
    <col min="1542" max="1542" width="12.42578125" style="1" bestFit="1" customWidth="1"/>
    <col min="1543" max="1785" width="9.140625" style="1"/>
    <col min="1786" max="1786" width="13.42578125" style="1" customWidth="1"/>
    <col min="1787" max="1787" width="71.7109375" style="1" customWidth="1"/>
    <col min="1788" max="1788" width="8" style="1" customWidth="1"/>
    <col min="1789" max="1789" width="10.42578125" style="1" customWidth="1"/>
    <col min="1790" max="1790" width="17.140625" style="1" customWidth="1"/>
    <col min="1791" max="1791" width="22" style="1" customWidth="1"/>
    <col min="1792" max="1792" width="9.140625" style="1"/>
    <col min="1793" max="1793" width="9.42578125" style="1" customWidth="1"/>
    <col min="1794" max="1796" width="14.42578125" style="1" bestFit="1" customWidth="1"/>
    <col min="1797" max="1797" width="10.7109375" style="1" bestFit="1" customWidth="1"/>
    <col min="1798" max="1798" width="12.42578125" style="1" bestFit="1" customWidth="1"/>
    <col min="1799" max="2041" width="9.140625" style="1"/>
    <col min="2042" max="2042" width="13.42578125" style="1" customWidth="1"/>
    <col min="2043" max="2043" width="71.7109375" style="1" customWidth="1"/>
    <col min="2044" max="2044" width="8" style="1" customWidth="1"/>
    <col min="2045" max="2045" width="10.42578125" style="1" customWidth="1"/>
    <col min="2046" max="2046" width="17.140625" style="1" customWidth="1"/>
    <col min="2047" max="2047" width="22" style="1" customWidth="1"/>
    <col min="2048" max="2048" width="9.140625" style="1"/>
    <col min="2049" max="2049" width="9.42578125" style="1" customWidth="1"/>
    <col min="2050" max="2052" width="14.42578125" style="1" bestFit="1" customWidth="1"/>
    <col min="2053" max="2053" width="10.7109375" style="1" bestFit="1" customWidth="1"/>
    <col min="2054" max="2054" width="12.42578125" style="1" bestFit="1" customWidth="1"/>
    <col min="2055" max="2297" width="9.140625" style="1"/>
    <col min="2298" max="2298" width="13.42578125" style="1" customWidth="1"/>
    <col min="2299" max="2299" width="71.7109375" style="1" customWidth="1"/>
    <col min="2300" max="2300" width="8" style="1" customWidth="1"/>
    <col min="2301" max="2301" width="10.42578125" style="1" customWidth="1"/>
    <col min="2302" max="2302" width="17.140625" style="1" customWidth="1"/>
    <col min="2303" max="2303" width="22" style="1" customWidth="1"/>
    <col min="2304" max="2304" width="9.140625" style="1"/>
    <col min="2305" max="2305" width="9.42578125" style="1" customWidth="1"/>
    <col min="2306" max="2308" width="14.42578125" style="1" bestFit="1" customWidth="1"/>
    <col min="2309" max="2309" width="10.7109375" style="1" bestFit="1" customWidth="1"/>
    <col min="2310" max="2310" width="12.42578125" style="1" bestFit="1" customWidth="1"/>
    <col min="2311" max="2553" width="9.140625" style="1"/>
    <col min="2554" max="2554" width="13.42578125" style="1" customWidth="1"/>
    <col min="2555" max="2555" width="71.7109375" style="1" customWidth="1"/>
    <col min="2556" max="2556" width="8" style="1" customWidth="1"/>
    <col min="2557" max="2557" width="10.42578125" style="1" customWidth="1"/>
    <col min="2558" max="2558" width="17.140625" style="1" customWidth="1"/>
    <col min="2559" max="2559" width="22" style="1" customWidth="1"/>
    <col min="2560" max="2560" width="9.140625" style="1"/>
    <col min="2561" max="2561" width="9.42578125" style="1" customWidth="1"/>
    <col min="2562" max="2564" width="14.42578125" style="1" bestFit="1" customWidth="1"/>
    <col min="2565" max="2565" width="10.7109375" style="1" bestFit="1" customWidth="1"/>
    <col min="2566" max="2566" width="12.42578125" style="1" bestFit="1" customWidth="1"/>
    <col min="2567" max="2809" width="9.140625" style="1"/>
    <col min="2810" max="2810" width="13.42578125" style="1" customWidth="1"/>
    <col min="2811" max="2811" width="71.7109375" style="1" customWidth="1"/>
    <col min="2812" max="2812" width="8" style="1" customWidth="1"/>
    <col min="2813" max="2813" width="10.42578125" style="1" customWidth="1"/>
    <col min="2814" max="2814" width="17.140625" style="1" customWidth="1"/>
    <col min="2815" max="2815" width="22" style="1" customWidth="1"/>
    <col min="2816" max="2816" width="9.140625" style="1"/>
    <col min="2817" max="2817" width="9.42578125" style="1" customWidth="1"/>
    <col min="2818" max="2820" width="14.42578125" style="1" bestFit="1" customWidth="1"/>
    <col min="2821" max="2821" width="10.7109375" style="1" bestFit="1" customWidth="1"/>
    <col min="2822" max="2822" width="12.42578125" style="1" bestFit="1" customWidth="1"/>
    <col min="2823" max="3065" width="9.140625" style="1"/>
    <col min="3066" max="3066" width="13.42578125" style="1" customWidth="1"/>
    <col min="3067" max="3067" width="71.7109375" style="1" customWidth="1"/>
    <col min="3068" max="3068" width="8" style="1" customWidth="1"/>
    <col min="3069" max="3069" width="10.42578125" style="1" customWidth="1"/>
    <col min="3070" max="3070" width="17.140625" style="1" customWidth="1"/>
    <col min="3071" max="3071" width="22" style="1" customWidth="1"/>
    <col min="3072" max="3072" width="9.140625" style="1"/>
    <col min="3073" max="3073" width="9.42578125" style="1" customWidth="1"/>
    <col min="3074" max="3076" width="14.42578125" style="1" bestFit="1" customWidth="1"/>
    <col min="3077" max="3077" width="10.7109375" style="1" bestFit="1" customWidth="1"/>
    <col min="3078" max="3078" width="12.42578125" style="1" bestFit="1" customWidth="1"/>
    <col min="3079" max="3321" width="9.140625" style="1"/>
    <col min="3322" max="3322" width="13.42578125" style="1" customWidth="1"/>
    <col min="3323" max="3323" width="71.7109375" style="1" customWidth="1"/>
    <col min="3324" max="3324" width="8" style="1" customWidth="1"/>
    <col min="3325" max="3325" width="10.42578125" style="1" customWidth="1"/>
    <col min="3326" max="3326" width="17.140625" style="1" customWidth="1"/>
    <col min="3327" max="3327" width="22" style="1" customWidth="1"/>
    <col min="3328" max="3328" width="9.140625" style="1"/>
    <col min="3329" max="3329" width="9.42578125" style="1" customWidth="1"/>
    <col min="3330" max="3332" width="14.42578125" style="1" bestFit="1" customWidth="1"/>
    <col min="3333" max="3333" width="10.7109375" style="1" bestFit="1" customWidth="1"/>
    <col min="3334" max="3334" width="12.42578125" style="1" bestFit="1" customWidth="1"/>
    <col min="3335" max="3577" width="9.140625" style="1"/>
    <col min="3578" max="3578" width="13.42578125" style="1" customWidth="1"/>
    <col min="3579" max="3579" width="71.7109375" style="1" customWidth="1"/>
    <col min="3580" max="3580" width="8" style="1" customWidth="1"/>
    <col min="3581" max="3581" width="10.42578125" style="1" customWidth="1"/>
    <col min="3582" max="3582" width="17.140625" style="1" customWidth="1"/>
    <col min="3583" max="3583" width="22" style="1" customWidth="1"/>
    <col min="3584" max="3584" width="9.140625" style="1"/>
    <col min="3585" max="3585" width="9.42578125" style="1" customWidth="1"/>
    <col min="3586" max="3588" width="14.42578125" style="1" bestFit="1" customWidth="1"/>
    <col min="3589" max="3589" width="10.7109375" style="1" bestFit="1" customWidth="1"/>
    <col min="3590" max="3590" width="12.42578125" style="1" bestFit="1" customWidth="1"/>
    <col min="3591" max="3833" width="9.140625" style="1"/>
    <col min="3834" max="3834" width="13.42578125" style="1" customWidth="1"/>
    <col min="3835" max="3835" width="71.7109375" style="1" customWidth="1"/>
    <col min="3836" max="3836" width="8" style="1" customWidth="1"/>
    <col min="3837" max="3837" width="10.42578125" style="1" customWidth="1"/>
    <col min="3838" max="3838" width="17.140625" style="1" customWidth="1"/>
    <col min="3839" max="3839" width="22" style="1" customWidth="1"/>
    <col min="3840" max="3840" width="9.140625" style="1"/>
    <col min="3841" max="3841" width="9.42578125" style="1" customWidth="1"/>
    <col min="3842" max="3844" width="14.42578125" style="1" bestFit="1" customWidth="1"/>
    <col min="3845" max="3845" width="10.7109375" style="1" bestFit="1" customWidth="1"/>
    <col min="3846" max="3846" width="12.42578125" style="1" bestFit="1" customWidth="1"/>
    <col min="3847" max="4089" width="9.140625" style="1"/>
    <col min="4090" max="4090" width="13.42578125" style="1" customWidth="1"/>
    <col min="4091" max="4091" width="71.7109375" style="1" customWidth="1"/>
    <col min="4092" max="4092" width="8" style="1" customWidth="1"/>
    <col min="4093" max="4093" width="10.42578125" style="1" customWidth="1"/>
    <col min="4094" max="4094" width="17.140625" style="1" customWidth="1"/>
    <col min="4095" max="4095" width="22" style="1" customWidth="1"/>
    <col min="4096" max="4096" width="9.140625" style="1"/>
    <col min="4097" max="4097" width="9.42578125" style="1" customWidth="1"/>
    <col min="4098" max="4100" width="14.42578125" style="1" bestFit="1" customWidth="1"/>
    <col min="4101" max="4101" width="10.7109375" style="1" bestFit="1" customWidth="1"/>
    <col min="4102" max="4102" width="12.42578125" style="1" bestFit="1" customWidth="1"/>
    <col min="4103" max="4345" width="9.140625" style="1"/>
    <col min="4346" max="4346" width="13.42578125" style="1" customWidth="1"/>
    <col min="4347" max="4347" width="71.7109375" style="1" customWidth="1"/>
    <col min="4348" max="4348" width="8" style="1" customWidth="1"/>
    <col min="4349" max="4349" width="10.42578125" style="1" customWidth="1"/>
    <col min="4350" max="4350" width="17.140625" style="1" customWidth="1"/>
    <col min="4351" max="4351" width="22" style="1" customWidth="1"/>
    <col min="4352" max="4352" width="9.140625" style="1"/>
    <col min="4353" max="4353" width="9.42578125" style="1" customWidth="1"/>
    <col min="4354" max="4356" width="14.42578125" style="1" bestFit="1" customWidth="1"/>
    <col min="4357" max="4357" width="10.7109375" style="1" bestFit="1" customWidth="1"/>
    <col min="4358" max="4358" width="12.42578125" style="1" bestFit="1" customWidth="1"/>
    <col min="4359" max="4601" width="9.140625" style="1"/>
    <col min="4602" max="4602" width="13.42578125" style="1" customWidth="1"/>
    <col min="4603" max="4603" width="71.7109375" style="1" customWidth="1"/>
    <col min="4604" max="4604" width="8" style="1" customWidth="1"/>
    <col min="4605" max="4605" width="10.42578125" style="1" customWidth="1"/>
    <col min="4606" max="4606" width="17.140625" style="1" customWidth="1"/>
    <col min="4607" max="4607" width="22" style="1" customWidth="1"/>
    <col min="4608" max="4608" width="9.140625" style="1"/>
    <col min="4609" max="4609" width="9.42578125" style="1" customWidth="1"/>
    <col min="4610" max="4612" width="14.42578125" style="1" bestFit="1" customWidth="1"/>
    <col min="4613" max="4613" width="10.7109375" style="1" bestFit="1" customWidth="1"/>
    <col min="4614" max="4614" width="12.42578125" style="1" bestFit="1" customWidth="1"/>
    <col min="4615" max="4857" width="9.140625" style="1"/>
    <col min="4858" max="4858" width="13.42578125" style="1" customWidth="1"/>
    <col min="4859" max="4859" width="71.7109375" style="1" customWidth="1"/>
    <col min="4860" max="4860" width="8" style="1" customWidth="1"/>
    <col min="4861" max="4861" width="10.42578125" style="1" customWidth="1"/>
    <col min="4862" max="4862" width="17.140625" style="1" customWidth="1"/>
    <col min="4863" max="4863" width="22" style="1" customWidth="1"/>
    <col min="4864" max="4864" width="9.140625" style="1"/>
    <col min="4865" max="4865" width="9.42578125" style="1" customWidth="1"/>
    <col min="4866" max="4868" width="14.42578125" style="1" bestFit="1" customWidth="1"/>
    <col min="4869" max="4869" width="10.7109375" style="1" bestFit="1" customWidth="1"/>
    <col min="4870" max="4870" width="12.42578125" style="1" bestFit="1" customWidth="1"/>
    <col min="4871" max="5113" width="9.140625" style="1"/>
    <col min="5114" max="5114" width="13.42578125" style="1" customWidth="1"/>
    <col min="5115" max="5115" width="71.7109375" style="1" customWidth="1"/>
    <col min="5116" max="5116" width="8" style="1" customWidth="1"/>
    <col min="5117" max="5117" width="10.42578125" style="1" customWidth="1"/>
    <col min="5118" max="5118" width="17.140625" style="1" customWidth="1"/>
    <col min="5119" max="5119" width="22" style="1" customWidth="1"/>
    <col min="5120" max="5120" width="9.140625" style="1"/>
    <col min="5121" max="5121" width="9.42578125" style="1" customWidth="1"/>
    <col min="5122" max="5124" width="14.42578125" style="1" bestFit="1" customWidth="1"/>
    <col min="5125" max="5125" width="10.7109375" style="1" bestFit="1" customWidth="1"/>
    <col min="5126" max="5126" width="12.42578125" style="1" bestFit="1" customWidth="1"/>
    <col min="5127" max="5369" width="9.140625" style="1"/>
    <col min="5370" max="5370" width="13.42578125" style="1" customWidth="1"/>
    <col min="5371" max="5371" width="71.7109375" style="1" customWidth="1"/>
    <col min="5372" max="5372" width="8" style="1" customWidth="1"/>
    <col min="5373" max="5373" width="10.42578125" style="1" customWidth="1"/>
    <col min="5374" max="5374" width="17.140625" style="1" customWidth="1"/>
    <col min="5375" max="5375" width="22" style="1" customWidth="1"/>
    <col min="5376" max="5376" width="9.140625" style="1"/>
    <col min="5377" max="5377" width="9.42578125" style="1" customWidth="1"/>
    <col min="5378" max="5380" width="14.42578125" style="1" bestFit="1" customWidth="1"/>
    <col min="5381" max="5381" width="10.7109375" style="1" bestFit="1" customWidth="1"/>
    <col min="5382" max="5382" width="12.42578125" style="1" bestFit="1" customWidth="1"/>
    <col min="5383" max="5625" width="9.140625" style="1"/>
    <col min="5626" max="5626" width="13.42578125" style="1" customWidth="1"/>
    <col min="5627" max="5627" width="71.7109375" style="1" customWidth="1"/>
    <col min="5628" max="5628" width="8" style="1" customWidth="1"/>
    <col min="5629" max="5629" width="10.42578125" style="1" customWidth="1"/>
    <col min="5630" max="5630" width="17.140625" style="1" customWidth="1"/>
    <col min="5631" max="5631" width="22" style="1" customWidth="1"/>
    <col min="5632" max="5632" width="9.140625" style="1"/>
    <col min="5633" max="5633" width="9.42578125" style="1" customWidth="1"/>
    <col min="5634" max="5636" width="14.42578125" style="1" bestFit="1" customWidth="1"/>
    <col min="5637" max="5637" width="10.7109375" style="1" bestFit="1" customWidth="1"/>
    <col min="5638" max="5638" width="12.42578125" style="1" bestFit="1" customWidth="1"/>
    <col min="5639" max="5881" width="9.140625" style="1"/>
    <col min="5882" max="5882" width="13.42578125" style="1" customWidth="1"/>
    <col min="5883" max="5883" width="71.7109375" style="1" customWidth="1"/>
    <col min="5884" max="5884" width="8" style="1" customWidth="1"/>
    <col min="5885" max="5885" width="10.42578125" style="1" customWidth="1"/>
    <col min="5886" max="5886" width="17.140625" style="1" customWidth="1"/>
    <col min="5887" max="5887" width="22" style="1" customWidth="1"/>
    <col min="5888" max="5888" width="9.140625" style="1"/>
    <col min="5889" max="5889" width="9.42578125" style="1" customWidth="1"/>
    <col min="5890" max="5892" width="14.42578125" style="1" bestFit="1" customWidth="1"/>
    <col min="5893" max="5893" width="10.7109375" style="1" bestFit="1" customWidth="1"/>
    <col min="5894" max="5894" width="12.42578125" style="1" bestFit="1" customWidth="1"/>
    <col min="5895" max="6137" width="9.140625" style="1"/>
    <col min="6138" max="6138" width="13.42578125" style="1" customWidth="1"/>
    <col min="6139" max="6139" width="71.7109375" style="1" customWidth="1"/>
    <col min="6140" max="6140" width="8" style="1" customWidth="1"/>
    <col min="6141" max="6141" width="10.42578125" style="1" customWidth="1"/>
    <col min="6142" max="6142" width="17.140625" style="1" customWidth="1"/>
    <col min="6143" max="6143" width="22" style="1" customWidth="1"/>
    <col min="6144" max="6144" width="9.140625" style="1"/>
    <col min="6145" max="6145" width="9.42578125" style="1" customWidth="1"/>
    <col min="6146" max="6148" width="14.42578125" style="1" bestFit="1" customWidth="1"/>
    <col min="6149" max="6149" width="10.7109375" style="1" bestFit="1" customWidth="1"/>
    <col min="6150" max="6150" width="12.42578125" style="1" bestFit="1" customWidth="1"/>
    <col min="6151" max="6393" width="9.140625" style="1"/>
    <col min="6394" max="6394" width="13.42578125" style="1" customWidth="1"/>
    <col min="6395" max="6395" width="71.7109375" style="1" customWidth="1"/>
    <col min="6396" max="6396" width="8" style="1" customWidth="1"/>
    <col min="6397" max="6397" width="10.42578125" style="1" customWidth="1"/>
    <col min="6398" max="6398" width="17.140625" style="1" customWidth="1"/>
    <col min="6399" max="6399" width="22" style="1" customWidth="1"/>
    <col min="6400" max="6400" width="9.140625" style="1"/>
    <col min="6401" max="6401" width="9.42578125" style="1" customWidth="1"/>
    <col min="6402" max="6404" width="14.42578125" style="1" bestFit="1" customWidth="1"/>
    <col min="6405" max="6405" width="10.7109375" style="1" bestFit="1" customWidth="1"/>
    <col min="6406" max="6406" width="12.42578125" style="1" bestFit="1" customWidth="1"/>
    <col min="6407" max="6649" width="9.140625" style="1"/>
    <col min="6650" max="6650" width="13.42578125" style="1" customWidth="1"/>
    <col min="6651" max="6651" width="71.7109375" style="1" customWidth="1"/>
    <col min="6652" max="6652" width="8" style="1" customWidth="1"/>
    <col min="6653" max="6653" width="10.42578125" style="1" customWidth="1"/>
    <col min="6654" max="6654" width="17.140625" style="1" customWidth="1"/>
    <col min="6655" max="6655" width="22" style="1" customWidth="1"/>
    <col min="6656" max="6656" width="9.140625" style="1"/>
    <col min="6657" max="6657" width="9.42578125" style="1" customWidth="1"/>
    <col min="6658" max="6660" width="14.42578125" style="1" bestFit="1" customWidth="1"/>
    <col min="6661" max="6661" width="10.7109375" style="1" bestFit="1" customWidth="1"/>
    <col min="6662" max="6662" width="12.42578125" style="1" bestFit="1" customWidth="1"/>
    <col min="6663" max="6905" width="9.140625" style="1"/>
    <col min="6906" max="6906" width="13.42578125" style="1" customWidth="1"/>
    <col min="6907" max="6907" width="71.7109375" style="1" customWidth="1"/>
    <col min="6908" max="6908" width="8" style="1" customWidth="1"/>
    <col min="6909" max="6909" width="10.42578125" style="1" customWidth="1"/>
    <col min="6910" max="6910" width="17.140625" style="1" customWidth="1"/>
    <col min="6911" max="6911" width="22" style="1" customWidth="1"/>
    <col min="6912" max="6912" width="9.140625" style="1"/>
    <col min="6913" max="6913" width="9.42578125" style="1" customWidth="1"/>
    <col min="6914" max="6916" width="14.42578125" style="1" bestFit="1" customWidth="1"/>
    <col min="6917" max="6917" width="10.7109375" style="1" bestFit="1" customWidth="1"/>
    <col min="6918" max="6918" width="12.42578125" style="1" bestFit="1" customWidth="1"/>
    <col min="6919" max="7161" width="9.140625" style="1"/>
    <col min="7162" max="7162" width="13.42578125" style="1" customWidth="1"/>
    <col min="7163" max="7163" width="71.7109375" style="1" customWidth="1"/>
    <col min="7164" max="7164" width="8" style="1" customWidth="1"/>
    <col min="7165" max="7165" width="10.42578125" style="1" customWidth="1"/>
    <col min="7166" max="7166" width="17.140625" style="1" customWidth="1"/>
    <col min="7167" max="7167" width="22" style="1" customWidth="1"/>
    <col min="7168" max="7168" width="9.140625" style="1"/>
    <col min="7169" max="7169" width="9.42578125" style="1" customWidth="1"/>
    <col min="7170" max="7172" width="14.42578125" style="1" bestFit="1" customWidth="1"/>
    <col min="7173" max="7173" width="10.7109375" style="1" bestFit="1" customWidth="1"/>
    <col min="7174" max="7174" width="12.42578125" style="1" bestFit="1" customWidth="1"/>
    <col min="7175" max="7417" width="9.140625" style="1"/>
    <col min="7418" max="7418" width="13.42578125" style="1" customWidth="1"/>
    <col min="7419" max="7419" width="71.7109375" style="1" customWidth="1"/>
    <col min="7420" max="7420" width="8" style="1" customWidth="1"/>
    <col min="7421" max="7421" width="10.42578125" style="1" customWidth="1"/>
    <col min="7422" max="7422" width="17.140625" style="1" customWidth="1"/>
    <col min="7423" max="7423" width="22" style="1" customWidth="1"/>
    <col min="7424" max="7424" width="9.140625" style="1"/>
    <col min="7425" max="7425" width="9.42578125" style="1" customWidth="1"/>
    <col min="7426" max="7428" width="14.42578125" style="1" bestFit="1" customWidth="1"/>
    <col min="7429" max="7429" width="10.7109375" style="1" bestFit="1" customWidth="1"/>
    <col min="7430" max="7430" width="12.42578125" style="1" bestFit="1" customWidth="1"/>
    <col min="7431" max="7673" width="9.140625" style="1"/>
    <col min="7674" max="7674" width="13.42578125" style="1" customWidth="1"/>
    <col min="7675" max="7675" width="71.7109375" style="1" customWidth="1"/>
    <col min="7676" max="7676" width="8" style="1" customWidth="1"/>
    <col min="7677" max="7677" width="10.42578125" style="1" customWidth="1"/>
    <col min="7678" max="7678" width="17.140625" style="1" customWidth="1"/>
    <col min="7679" max="7679" width="22" style="1" customWidth="1"/>
    <col min="7680" max="7680" width="9.140625" style="1"/>
    <col min="7681" max="7681" width="9.42578125" style="1" customWidth="1"/>
    <col min="7682" max="7684" width="14.42578125" style="1" bestFit="1" customWidth="1"/>
    <col min="7685" max="7685" width="10.7109375" style="1" bestFit="1" customWidth="1"/>
    <col min="7686" max="7686" width="12.42578125" style="1" bestFit="1" customWidth="1"/>
    <col min="7687" max="7929" width="9.140625" style="1"/>
    <col min="7930" max="7930" width="13.42578125" style="1" customWidth="1"/>
    <col min="7931" max="7931" width="71.7109375" style="1" customWidth="1"/>
    <col min="7932" max="7932" width="8" style="1" customWidth="1"/>
    <col min="7933" max="7933" width="10.42578125" style="1" customWidth="1"/>
    <col min="7934" max="7934" width="17.140625" style="1" customWidth="1"/>
    <col min="7935" max="7935" width="22" style="1" customWidth="1"/>
    <col min="7936" max="7936" width="9.140625" style="1"/>
    <col min="7937" max="7937" width="9.42578125" style="1" customWidth="1"/>
    <col min="7938" max="7940" width="14.42578125" style="1" bestFit="1" customWidth="1"/>
    <col min="7941" max="7941" width="10.7109375" style="1" bestFit="1" customWidth="1"/>
    <col min="7942" max="7942" width="12.42578125" style="1" bestFit="1" customWidth="1"/>
    <col min="7943" max="8185" width="9.140625" style="1"/>
    <col min="8186" max="8186" width="13.42578125" style="1" customWidth="1"/>
    <col min="8187" max="8187" width="71.7109375" style="1" customWidth="1"/>
    <col min="8188" max="8188" width="8" style="1" customWidth="1"/>
    <col min="8189" max="8189" width="10.42578125" style="1" customWidth="1"/>
    <col min="8190" max="8190" width="17.140625" style="1" customWidth="1"/>
    <col min="8191" max="8191" width="22" style="1" customWidth="1"/>
    <col min="8192" max="8192" width="9.140625" style="1"/>
    <col min="8193" max="8193" width="9.42578125" style="1" customWidth="1"/>
    <col min="8194" max="8196" width="14.42578125" style="1" bestFit="1" customWidth="1"/>
    <col min="8197" max="8197" width="10.7109375" style="1" bestFit="1" customWidth="1"/>
    <col min="8198" max="8198" width="12.42578125" style="1" bestFit="1" customWidth="1"/>
    <col min="8199" max="8441" width="9.140625" style="1"/>
    <col min="8442" max="8442" width="13.42578125" style="1" customWidth="1"/>
    <col min="8443" max="8443" width="71.7109375" style="1" customWidth="1"/>
    <col min="8444" max="8444" width="8" style="1" customWidth="1"/>
    <col min="8445" max="8445" width="10.42578125" style="1" customWidth="1"/>
    <col min="8446" max="8446" width="17.140625" style="1" customWidth="1"/>
    <col min="8447" max="8447" width="22" style="1" customWidth="1"/>
    <col min="8448" max="8448" width="9.140625" style="1"/>
    <col min="8449" max="8449" width="9.42578125" style="1" customWidth="1"/>
    <col min="8450" max="8452" width="14.42578125" style="1" bestFit="1" customWidth="1"/>
    <col min="8453" max="8453" width="10.7109375" style="1" bestFit="1" customWidth="1"/>
    <col min="8454" max="8454" width="12.42578125" style="1" bestFit="1" customWidth="1"/>
    <col min="8455" max="8697" width="9.140625" style="1"/>
    <col min="8698" max="8698" width="13.42578125" style="1" customWidth="1"/>
    <col min="8699" max="8699" width="71.7109375" style="1" customWidth="1"/>
    <col min="8700" max="8700" width="8" style="1" customWidth="1"/>
    <col min="8701" max="8701" width="10.42578125" style="1" customWidth="1"/>
    <col min="8702" max="8702" width="17.140625" style="1" customWidth="1"/>
    <col min="8703" max="8703" width="22" style="1" customWidth="1"/>
    <col min="8704" max="8704" width="9.140625" style="1"/>
    <col min="8705" max="8705" width="9.42578125" style="1" customWidth="1"/>
    <col min="8706" max="8708" width="14.42578125" style="1" bestFit="1" customWidth="1"/>
    <col min="8709" max="8709" width="10.7109375" style="1" bestFit="1" customWidth="1"/>
    <col min="8710" max="8710" width="12.42578125" style="1" bestFit="1" customWidth="1"/>
    <col min="8711" max="8953" width="9.140625" style="1"/>
    <col min="8954" max="8954" width="13.42578125" style="1" customWidth="1"/>
    <col min="8955" max="8955" width="71.7109375" style="1" customWidth="1"/>
    <col min="8956" max="8956" width="8" style="1" customWidth="1"/>
    <col min="8957" max="8957" width="10.42578125" style="1" customWidth="1"/>
    <col min="8958" max="8958" width="17.140625" style="1" customWidth="1"/>
    <col min="8959" max="8959" width="22" style="1" customWidth="1"/>
    <col min="8960" max="8960" width="9.140625" style="1"/>
    <col min="8961" max="8961" width="9.42578125" style="1" customWidth="1"/>
    <col min="8962" max="8964" width="14.42578125" style="1" bestFit="1" customWidth="1"/>
    <col min="8965" max="8965" width="10.7109375" style="1" bestFit="1" customWidth="1"/>
    <col min="8966" max="8966" width="12.42578125" style="1" bestFit="1" customWidth="1"/>
    <col min="8967" max="9209" width="9.140625" style="1"/>
    <col min="9210" max="9210" width="13.42578125" style="1" customWidth="1"/>
    <col min="9211" max="9211" width="71.7109375" style="1" customWidth="1"/>
    <col min="9212" max="9212" width="8" style="1" customWidth="1"/>
    <col min="9213" max="9213" width="10.42578125" style="1" customWidth="1"/>
    <col min="9214" max="9214" width="17.140625" style="1" customWidth="1"/>
    <col min="9215" max="9215" width="22" style="1" customWidth="1"/>
    <col min="9216" max="9216" width="9.140625" style="1"/>
    <col min="9217" max="9217" width="9.42578125" style="1" customWidth="1"/>
    <col min="9218" max="9220" width="14.42578125" style="1" bestFit="1" customWidth="1"/>
    <col min="9221" max="9221" width="10.7109375" style="1" bestFit="1" customWidth="1"/>
    <col min="9222" max="9222" width="12.42578125" style="1" bestFit="1" customWidth="1"/>
    <col min="9223" max="9465" width="9.140625" style="1"/>
    <col min="9466" max="9466" width="13.42578125" style="1" customWidth="1"/>
    <col min="9467" max="9467" width="71.7109375" style="1" customWidth="1"/>
    <col min="9468" max="9468" width="8" style="1" customWidth="1"/>
    <col min="9469" max="9469" width="10.42578125" style="1" customWidth="1"/>
    <col min="9470" max="9470" width="17.140625" style="1" customWidth="1"/>
    <col min="9471" max="9471" width="22" style="1" customWidth="1"/>
    <col min="9472" max="9472" width="9.140625" style="1"/>
    <col min="9473" max="9473" width="9.42578125" style="1" customWidth="1"/>
    <col min="9474" max="9476" width="14.42578125" style="1" bestFit="1" customWidth="1"/>
    <col min="9477" max="9477" width="10.7109375" style="1" bestFit="1" customWidth="1"/>
    <col min="9478" max="9478" width="12.42578125" style="1" bestFit="1" customWidth="1"/>
    <col min="9479" max="9721" width="9.140625" style="1"/>
    <col min="9722" max="9722" width="13.42578125" style="1" customWidth="1"/>
    <col min="9723" max="9723" width="71.7109375" style="1" customWidth="1"/>
    <col min="9724" max="9724" width="8" style="1" customWidth="1"/>
    <col min="9725" max="9725" width="10.42578125" style="1" customWidth="1"/>
    <col min="9726" max="9726" width="17.140625" style="1" customWidth="1"/>
    <col min="9727" max="9727" width="22" style="1" customWidth="1"/>
    <col min="9728" max="9728" width="9.140625" style="1"/>
    <col min="9729" max="9729" width="9.42578125" style="1" customWidth="1"/>
    <col min="9730" max="9732" width="14.42578125" style="1" bestFit="1" customWidth="1"/>
    <col min="9733" max="9733" width="10.7109375" style="1" bestFit="1" customWidth="1"/>
    <col min="9734" max="9734" width="12.42578125" style="1" bestFit="1" customWidth="1"/>
    <col min="9735" max="9977" width="9.140625" style="1"/>
    <col min="9978" max="9978" width="13.42578125" style="1" customWidth="1"/>
    <col min="9979" max="9979" width="71.7109375" style="1" customWidth="1"/>
    <col min="9980" max="9980" width="8" style="1" customWidth="1"/>
    <col min="9981" max="9981" width="10.42578125" style="1" customWidth="1"/>
    <col min="9982" max="9982" width="17.140625" style="1" customWidth="1"/>
    <col min="9983" max="9983" width="22" style="1" customWidth="1"/>
    <col min="9984" max="9984" width="9.140625" style="1"/>
    <col min="9985" max="9985" width="9.42578125" style="1" customWidth="1"/>
    <col min="9986" max="9988" width="14.42578125" style="1" bestFit="1" customWidth="1"/>
    <col min="9989" max="9989" width="10.7109375" style="1" bestFit="1" customWidth="1"/>
    <col min="9990" max="9990" width="12.42578125" style="1" bestFit="1" customWidth="1"/>
    <col min="9991" max="10233" width="9.140625" style="1"/>
    <col min="10234" max="10234" width="13.42578125" style="1" customWidth="1"/>
    <col min="10235" max="10235" width="71.7109375" style="1" customWidth="1"/>
    <col min="10236" max="10236" width="8" style="1" customWidth="1"/>
    <col min="10237" max="10237" width="10.42578125" style="1" customWidth="1"/>
    <col min="10238" max="10238" width="17.140625" style="1" customWidth="1"/>
    <col min="10239" max="10239" width="22" style="1" customWidth="1"/>
    <col min="10240" max="10240" width="9.140625" style="1"/>
    <col min="10241" max="10241" width="9.42578125" style="1" customWidth="1"/>
    <col min="10242" max="10244" width="14.42578125" style="1" bestFit="1" customWidth="1"/>
    <col min="10245" max="10245" width="10.7109375" style="1" bestFit="1" customWidth="1"/>
    <col min="10246" max="10246" width="12.42578125" style="1" bestFit="1" customWidth="1"/>
    <col min="10247" max="10489" width="9.140625" style="1"/>
    <col min="10490" max="10490" width="13.42578125" style="1" customWidth="1"/>
    <col min="10491" max="10491" width="71.7109375" style="1" customWidth="1"/>
    <col min="10492" max="10492" width="8" style="1" customWidth="1"/>
    <col min="10493" max="10493" width="10.42578125" style="1" customWidth="1"/>
    <col min="10494" max="10494" width="17.140625" style="1" customWidth="1"/>
    <col min="10495" max="10495" width="22" style="1" customWidth="1"/>
    <col min="10496" max="10496" width="9.140625" style="1"/>
    <col min="10497" max="10497" width="9.42578125" style="1" customWidth="1"/>
    <col min="10498" max="10500" width="14.42578125" style="1" bestFit="1" customWidth="1"/>
    <col min="10501" max="10501" width="10.7109375" style="1" bestFit="1" customWidth="1"/>
    <col min="10502" max="10502" width="12.42578125" style="1" bestFit="1" customWidth="1"/>
    <col min="10503" max="10745" width="9.140625" style="1"/>
    <col min="10746" max="10746" width="13.42578125" style="1" customWidth="1"/>
    <col min="10747" max="10747" width="71.7109375" style="1" customWidth="1"/>
    <col min="10748" max="10748" width="8" style="1" customWidth="1"/>
    <col min="10749" max="10749" width="10.42578125" style="1" customWidth="1"/>
    <col min="10750" max="10750" width="17.140625" style="1" customWidth="1"/>
    <col min="10751" max="10751" width="22" style="1" customWidth="1"/>
    <col min="10752" max="10752" width="9.140625" style="1"/>
    <col min="10753" max="10753" width="9.42578125" style="1" customWidth="1"/>
    <col min="10754" max="10756" width="14.42578125" style="1" bestFit="1" customWidth="1"/>
    <col min="10757" max="10757" width="10.7109375" style="1" bestFit="1" customWidth="1"/>
    <col min="10758" max="10758" width="12.42578125" style="1" bestFit="1" customWidth="1"/>
    <col min="10759" max="11001" width="9.140625" style="1"/>
    <col min="11002" max="11002" width="13.42578125" style="1" customWidth="1"/>
    <col min="11003" max="11003" width="71.7109375" style="1" customWidth="1"/>
    <col min="11004" max="11004" width="8" style="1" customWidth="1"/>
    <col min="11005" max="11005" width="10.42578125" style="1" customWidth="1"/>
    <col min="11006" max="11006" width="17.140625" style="1" customWidth="1"/>
    <col min="11007" max="11007" width="22" style="1" customWidth="1"/>
    <col min="11008" max="11008" width="9.140625" style="1"/>
    <col min="11009" max="11009" width="9.42578125" style="1" customWidth="1"/>
    <col min="11010" max="11012" width="14.42578125" style="1" bestFit="1" customWidth="1"/>
    <col min="11013" max="11013" width="10.7109375" style="1" bestFit="1" customWidth="1"/>
    <col min="11014" max="11014" width="12.42578125" style="1" bestFit="1" customWidth="1"/>
    <col min="11015" max="11257" width="9.140625" style="1"/>
    <col min="11258" max="11258" width="13.42578125" style="1" customWidth="1"/>
    <col min="11259" max="11259" width="71.7109375" style="1" customWidth="1"/>
    <col min="11260" max="11260" width="8" style="1" customWidth="1"/>
    <col min="11261" max="11261" width="10.42578125" style="1" customWidth="1"/>
    <col min="11262" max="11262" width="17.140625" style="1" customWidth="1"/>
    <col min="11263" max="11263" width="22" style="1" customWidth="1"/>
    <col min="11264" max="11264" width="9.140625" style="1"/>
    <col min="11265" max="11265" width="9.42578125" style="1" customWidth="1"/>
    <col min="11266" max="11268" width="14.42578125" style="1" bestFit="1" customWidth="1"/>
    <col min="11269" max="11269" width="10.7109375" style="1" bestFit="1" customWidth="1"/>
    <col min="11270" max="11270" width="12.42578125" style="1" bestFit="1" customWidth="1"/>
    <col min="11271" max="11513" width="9.140625" style="1"/>
    <col min="11514" max="11514" width="13.42578125" style="1" customWidth="1"/>
    <col min="11515" max="11515" width="71.7109375" style="1" customWidth="1"/>
    <col min="11516" max="11516" width="8" style="1" customWidth="1"/>
    <col min="11517" max="11517" width="10.42578125" style="1" customWidth="1"/>
    <col min="11518" max="11518" width="17.140625" style="1" customWidth="1"/>
    <col min="11519" max="11519" width="22" style="1" customWidth="1"/>
    <col min="11520" max="11520" width="9.140625" style="1"/>
    <col min="11521" max="11521" width="9.42578125" style="1" customWidth="1"/>
    <col min="11522" max="11524" width="14.42578125" style="1" bestFit="1" customWidth="1"/>
    <col min="11525" max="11525" width="10.7109375" style="1" bestFit="1" customWidth="1"/>
    <col min="11526" max="11526" width="12.42578125" style="1" bestFit="1" customWidth="1"/>
    <col min="11527" max="11769" width="9.140625" style="1"/>
    <col min="11770" max="11770" width="13.42578125" style="1" customWidth="1"/>
    <col min="11771" max="11771" width="71.7109375" style="1" customWidth="1"/>
    <col min="11772" max="11772" width="8" style="1" customWidth="1"/>
    <col min="11773" max="11773" width="10.42578125" style="1" customWidth="1"/>
    <col min="11774" max="11774" width="17.140625" style="1" customWidth="1"/>
    <col min="11775" max="11775" width="22" style="1" customWidth="1"/>
    <col min="11776" max="11776" width="9.140625" style="1"/>
    <col min="11777" max="11777" width="9.42578125" style="1" customWidth="1"/>
    <col min="11778" max="11780" width="14.42578125" style="1" bestFit="1" customWidth="1"/>
    <col min="11781" max="11781" width="10.7109375" style="1" bestFit="1" customWidth="1"/>
    <col min="11782" max="11782" width="12.42578125" style="1" bestFit="1" customWidth="1"/>
    <col min="11783" max="12025" width="9.140625" style="1"/>
    <col min="12026" max="12026" width="13.42578125" style="1" customWidth="1"/>
    <col min="12027" max="12027" width="71.7109375" style="1" customWidth="1"/>
    <col min="12028" max="12028" width="8" style="1" customWidth="1"/>
    <col min="12029" max="12029" width="10.42578125" style="1" customWidth="1"/>
    <col min="12030" max="12030" width="17.140625" style="1" customWidth="1"/>
    <col min="12031" max="12031" width="22" style="1" customWidth="1"/>
    <col min="12032" max="12032" width="9.140625" style="1"/>
    <col min="12033" max="12033" width="9.42578125" style="1" customWidth="1"/>
    <col min="12034" max="12036" width="14.42578125" style="1" bestFit="1" customWidth="1"/>
    <col min="12037" max="12037" width="10.7109375" style="1" bestFit="1" customWidth="1"/>
    <col min="12038" max="12038" width="12.42578125" style="1" bestFit="1" customWidth="1"/>
    <col min="12039" max="12281" width="9.140625" style="1"/>
    <col min="12282" max="12282" width="13.42578125" style="1" customWidth="1"/>
    <col min="12283" max="12283" width="71.7109375" style="1" customWidth="1"/>
    <col min="12284" max="12284" width="8" style="1" customWidth="1"/>
    <col min="12285" max="12285" width="10.42578125" style="1" customWidth="1"/>
    <col min="12286" max="12286" width="17.140625" style="1" customWidth="1"/>
    <col min="12287" max="12287" width="22" style="1" customWidth="1"/>
    <col min="12288" max="12288" width="9.140625" style="1"/>
    <col min="12289" max="12289" width="9.42578125" style="1" customWidth="1"/>
    <col min="12290" max="12292" width="14.42578125" style="1" bestFit="1" customWidth="1"/>
    <col min="12293" max="12293" width="10.7109375" style="1" bestFit="1" customWidth="1"/>
    <col min="12294" max="12294" width="12.42578125" style="1" bestFit="1" customWidth="1"/>
    <col min="12295" max="12537" width="9.140625" style="1"/>
    <col min="12538" max="12538" width="13.42578125" style="1" customWidth="1"/>
    <col min="12539" max="12539" width="71.7109375" style="1" customWidth="1"/>
    <col min="12540" max="12540" width="8" style="1" customWidth="1"/>
    <col min="12541" max="12541" width="10.42578125" style="1" customWidth="1"/>
    <col min="12542" max="12542" width="17.140625" style="1" customWidth="1"/>
    <col min="12543" max="12543" width="22" style="1" customWidth="1"/>
    <col min="12544" max="12544" width="9.140625" style="1"/>
    <col min="12545" max="12545" width="9.42578125" style="1" customWidth="1"/>
    <col min="12546" max="12548" width="14.42578125" style="1" bestFit="1" customWidth="1"/>
    <col min="12549" max="12549" width="10.7109375" style="1" bestFit="1" customWidth="1"/>
    <col min="12550" max="12550" width="12.42578125" style="1" bestFit="1" customWidth="1"/>
    <col min="12551" max="12793" width="9.140625" style="1"/>
    <col min="12794" max="12794" width="13.42578125" style="1" customWidth="1"/>
    <col min="12795" max="12795" width="71.7109375" style="1" customWidth="1"/>
    <col min="12796" max="12796" width="8" style="1" customWidth="1"/>
    <col min="12797" max="12797" width="10.42578125" style="1" customWidth="1"/>
    <col min="12798" max="12798" width="17.140625" style="1" customWidth="1"/>
    <col min="12799" max="12799" width="22" style="1" customWidth="1"/>
    <col min="12800" max="12800" width="9.140625" style="1"/>
    <col min="12801" max="12801" width="9.42578125" style="1" customWidth="1"/>
    <col min="12802" max="12804" width="14.42578125" style="1" bestFit="1" customWidth="1"/>
    <col min="12805" max="12805" width="10.7109375" style="1" bestFit="1" customWidth="1"/>
    <col min="12806" max="12806" width="12.42578125" style="1" bestFit="1" customWidth="1"/>
    <col min="12807" max="13049" width="9.140625" style="1"/>
    <col min="13050" max="13050" width="13.42578125" style="1" customWidth="1"/>
    <col min="13051" max="13051" width="71.7109375" style="1" customWidth="1"/>
    <col min="13052" max="13052" width="8" style="1" customWidth="1"/>
    <col min="13053" max="13053" width="10.42578125" style="1" customWidth="1"/>
    <col min="13054" max="13054" width="17.140625" style="1" customWidth="1"/>
    <col min="13055" max="13055" width="22" style="1" customWidth="1"/>
    <col min="13056" max="13056" width="9.140625" style="1"/>
    <col min="13057" max="13057" width="9.42578125" style="1" customWidth="1"/>
    <col min="13058" max="13060" width="14.42578125" style="1" bestFit="1" customWidth="1"/>
    <col min="13061" max="13061" width="10.7109375" style="1" bestFit="1" customWidth="1"/>
    <col min="13062" max="13062" width="12.42578125" style="1" bestFit="1" customWidth="1"/>
    <col min="13063" max="13305" width="9.140625" style="1"/>
    <col min="13306" max="13306" width="13.42578125" style="1" customWidth="1"/>
    <col min="13307" max="13307" width="71.7109375" style="1" customWidth="1"/>
    <col min="13308" max="13308" width="8" style="1" customWidth="1"/>
    <col min="13309" max="13309" width="10.42578125" style="1" customWidth="1"/>
    <col min="13310" max="13310" width="17.140625" style="1" customWidth="1"/>
    <col min="13311" max="13311" width="22" style="1" customWidth="1"/>
    <col min="13312" max="13312" width="9.140625" style="1"/>
    <col min="13313" max="13313" width="9.42578125" style="1" customWidth="1"/>
    <col min="13314" max="13316" width="14.42578125" style="1" bestFit="1" customWidth="1"/>
    <col min="13317" max="13317" width="10.7109375" style="1" bestFit="1" customWidth="1"/>
    <col min="13318" max="13318" width="12.42578125" style="1" bestFit="1" customWidth="1"/>
    <col min="13319" max="13561" width="9.140625" style="1"/>
    <col min="13562" max="13562" width="13.42578125" style="1" customWidth="1"/>
    <col min="13563" max="13563" width="71.7109375" style="1" customWidth="1"/>
    <col min="13564" max="13564" width="8" style="1" customWidth="1"/>
    <col min="13565" max="13565" width="10.42578125" style="1" customWidth="1"/>
    <col min="13566" max="13566" width="17.140625" style="1" customWidth="1"/>
    <col min="13567" max="13567" width="22" style="1" customWidth="1"/>
    <col min="13568" max="13568" width="9.140625" style="1"/>
    <col min="13569" max="13569" width="9.42578125" style="1" customWidth="1"/>
    <col min="13570" max="13572" width="14.42578125" style="1" bestFit="1" customWidth="1"/>
    <col min="13573" max="13573" width="10.7109375" style="1" bestFit="1" customWidth="1"/>
    <col min="13574" max="13574" width="12.42578125" style="1" bestFit="1" customWidth="1"/>
    <col min="13575" max="13817" width="9.140625" style="1"/>
    <col min="13818" max="13818" width="13.42578125" style="1" customWidth="1"/>
    <col min="13819" max="13819" width="71.7109375" style="1" customWidth="1"/>
    <col min="13820" max="13820" width="8" style="1" customWidth="1"/>
    <col min="13821" max="13821" width="10.42578125" style="1" customWidth="1"/>
    <col min="13822" max="13822" width="17.140625" style="1" customWidth="1"/>
    <col min="13823" max="13823" width="22" style="1" customWidth="1"/>
    <col min="13824" max="13824" width="9.140625" style="1"/>
    <col min="13825" max="13825" width="9.42578125" style="1" customWidth="1"/>
    <col min="13826" max="13828" width="14.42578125" style="1" bestFit="1" customWidth="1"/>
    <col min="13829" max="13829" width="10.7109375" style="1" bestFit="1" customWidth="1"/>
    <col min="13830" max="13830" width="12.42578125" style="1" bestFit="1" customWidth="1"/>
    <col min="13831" max="14073" width="9.140625" style="1"/>
    <col min="14074" max="14074" width="13.42578125" style="1" customWidth="1"/>
    <col min="14075" max="14075" width="71.7109375" style="1" customWidth="1"/>
    <col min="14076" max="14076" width="8" style="1" customWidth="1"/>
    <col min="14077" max="14077" width="10.42578125" style="1" customWidth="1"/>
    <col min="14078" max="14078" width="17.140625" style="1" customWidth="1"/>
    <col min="14079" max="14079" width="22" style="1" customWidth="1"/>
    <col min="14080" max="14080" width="9.140625" style="1"/>
    <col min="14081" max="14081" width="9.42578125" style="1" customWidth="1"/>
    <col min="14082" max="14084" width="14.42578125" style="1" bestFit="1" customWidth="1"/>
    <col min="14085" max="14085" width="10.7109375" style="1" bestFit="1" customWidth="1"/>
    <col min="14086" max="14086" width="12.42578125" style="1" bestFit="1" customWidth="1"/>
    <col min="14087" max="14329" width="9.140625" style="1"/>
    <col min="14330" max="14330" width="13.42578125" style="1" customWidth="1"/>
    <col min="14331" max="14331" width="71.7109375" style="1" customWidth="1"/>
    <col min="14332" max="14332" width="8" style="1" customWidth="1"/>
    <col min="14333" max="14333" width="10.42578125" style="1" customWidth="1"/>
    <col min="14334" max="14334" width="17.140625" style="1" customWidth="1"/>
    <col min="14335" max="14335" width="22" style="1" customWidth="1"/>
    <col min="14336" max="14336" width="9.140625" style="1"/>
    <col min="14337" max="14337" width="9.42578125" style="1" customWidth="1"/>
    <col min="14338" max="14340" width="14.42578125" style="1" bestFit="1" customWidth="1"/>
    <col min="14341" max="14341" width="10.7109375" style="1" bestFit="1" customWidth="1"/>
    <col min="14342" max="14342" width="12.42578125" style="1" bestFit="1" customWidth="1"/>
    <col min="14343" max="14585" width="9.140625" style="1"/>
    <col min="14586" max="14586" width="13.42578125" style="1" customWidth="1"/>
    <col min="14587" max="14587" width="71.7109375" style="1" customWidth="1"/>
    <col min="14588" max="14588" width="8" style="1" customWidth="1"/>
    <col min="14589" max="14589" width="10.42578125" style="1" customWidth="1"/>
    <col min="14590" max="14590" width="17.140625" style="1" customWidth="1"/>
    <col min="14591" max="14591" width="22" style="1" customWidth="1"/>
    <col min="14592" max="14592" width="9.140625" style="1"/>
    <col min="14593" max="14593" width="9.42578125" style="1" customWidth="1"/>
    <col min="14594" max="14596" width="14.42578125" style="1" bestFit="1" customWidth="1"/>
    <col min="14597" max="14597" width="10.7109375" style="1" bestFit="1" customWidth="1"/>
    <col min="14598" max="14598" width="12.42578125" style="1" bestFit="1" customWidth="1"/>
    <col min="14599" max="14841" width="9.140625" style="1"/>
    <col min="14842" max="14842" width="13.42578125" style="1" customWidth="1"/>
    <col min="14843" max="14843" width="71.7109375" style="1" customWidth="1"/>
    <col min="14844" max="14844" width="8" style="1" customWidth="1"/>
    <col min="14845" max="14845" width="10.42578125" style="1" customWidth="1"/>
    <col min="14846" max="14846" width="17.140625" style="1" customWidth="1"/>
    <col min="14847" max="14847" width="22" style="1" customWidth="1"/>
    <col min="14848" max="14848" width="9.140625" style="1"/>
    <col min="14849" max="14849" width="9.42578125" style="1" customWidth="1"/>
    <col min="14850" max="14852" width="14.42578125" style="1" bestFit="1" customWidth="1"/>
    <col min="14853" max="14853" width="10.7109375" style="1" bestFit="1" customWidth="1"/>
    <col min="14854" max="14854" width="12.42578125" style="1" bestFit="1" customWidth="1"/>
    <col min="14855" max="15097" width="9.140625" style="1"/>
    <col min="15098" max="15098" width="13.42578125" style="1" customWidth="1"/>
    <col min="15099" max="15099" width="71.7109375" style="1" customWidth="1"/>
    <col min="15100" max="15100" width="8" style="1" customWidth="1"/>
    <col min="15101" max="15101" width="10.42578125" style="1" customWidth="1"/>
    <col min="15102" max="15102" width="17.140625" style="1" customWidth="1"/>
    <col min="15103" max="15103" width="22" style="1" customWidth="1"/>
    <col min="15104" max="15104" width="9.140625" style="1"/>
    <col min="15105" max="15105" width="9.42578125" style="1" customWidth="1"/>
    <col min="15106" max="15108" width="14.42578125" style="1" bestFit="1" customWidth="1"/>
    <col min="15109" max="15109" width="10.7109375" style="1" bestFit="1" customWidth="1"/>
    <col min="15110" max="15110" width="12.42578125" style="1" bestFit="1" customWidth="1"/>
    <col min="15111" max="15353" width="9.140625" style="1"/>
    <col min="15354" max="15354" width="13.42578125" style="1" customWidth="1"/>
    <col min="15355" max="15355" width="71.7109375" style="1" customWidth="1"/>
    <col min="15356" max="15356" width="8" style="1" customWidth="1"/>
    <col min="15357" max="15357" width="10.42578125" style="1" customWidth="1"/>
    <col min="15358" max="15358" width="17.140625" style="1" customWidth="1"/>
    <col min="15359" max="15359" width="22" style="1" customWidth="1"/>
    <col min="15360" max="15360" width="9.140625" style="1"/>
    <col min="15361" max="15361" width="9.42578125" style="1" customWidth="1"/>
    <col min="15362" max="15364" width="14.42578125" style="1" bestFit="1" customWidth="1"/>
    <col min="15365" max="15365" width="10.7109375" style="1" bestFit="1" customWidth="1"/>
    <col min="15366" max="15366" width="12.42578125" style="1" bestFit="1" customWidth="1"/>
    <col min="15367" max="15609" width="9.140625" style="1"/>
    <col min="15610" max="15610" width="13.42578125" style="1" customWidth="1"/>
    <col min="15611" max="15611" width="71.7109375" style="1" customWidth="1"/>
    <col min="15612" max="15612" width="8" style="1" customWidth="1"/>
    <col min="15613" max="15613" width="10.42578125" style="1" customWidth="1"/>
    <col min="15614" max="15614" width="17.140625" style="1" customWidth="1"/>
    <col min="15615" max="15615" width="22" style="1" customWidth="1"/>
    <col min="15616" max="15616" width="9.140625" style="1"/>
    <col min="15617" max="15617" width="9.42578125" style="1" customWidth="1"/>
    <col min="15618" max="15620" width="14.42578125" style="1" bestFit="1" customWidth="1"/>
    <col min="15621" max="15621" width="10.7109375" style="1" bestFit="1" customWidth="1"/>
    <col min="15622" max="15622" width="12.42578125" style="1" bestFit="1" customWidth="1"/>
    <col min="15623" max="15865" width="9.140625" style="1"/>
    <col min="15866" max="15866" width="13.42578125" style="1" customWidth="1"/>
    <col min="15867" max="15867" width="71.7109375" style="1" customWidth="1"/>
    <col min="15868" max="15868" width="8" style="1" customWidth="1"/>
    <col min="15869" max="15869" width="10.42578125" style="1" customWidth="1"/>
    <col min="15870" max="15870" width="17.140625" style="1" customWidth="1"/>
    <col min="15871" max="15871" width="22" style="1" customWidth="1"/>
    <col min="15872" max="15872" width="9.140625" style="1"/>
    <col min="15873" max="15873" width="9.42578125" style="1" customWidth="1"/>
    <col min="15874" max="15876" width="14.42578125" style="1" bestFit="1" customWidth="1"/>
    <col min="15877" max="15877" width="10.7109375" style="1" bestFit="1" customWidth="1"/>
    <col min="15878" max="15878" width="12.42578125" style="1" bestFit="1" customWidth="1"/>
    <col min="15879" max="16121" width="9.140625" style="1"/>
    <col min="16122" max="16122" width="13.42578125" style="1" customWidth="1"/>
    <col min="16123" max="16123" width="71.7109375" style="1" customWidth="1"/>
    <col min="16124" max="16124" width="8" style="1" customWidth="1"/>
    <col min="16125" max="16125" width="10.42578125" style="1" customWidth="1"/>
    <col min="16126" max="16126" width="17.140625" style="1" customWidth="1"/>
    <col min="16127" max="16127" width="22" style="1" customWidth="1"/>
    <col min="16128" max="16128" width="9.140625" style="1"/>
    <col min="16129" max="16129" width="9.42578125" style="1" customWidth="1"/>
    <col min="16130" max="16132" width="14.42578125" style="1" bestFit="1" customWidth="1"/>
    <col min="16133" max="16133" width="10.7109375" style="1" bestFit="1" customWidth="1"/>
    <col min="16134" max="16134" width="12.42578125" style="1" bestFit="1" customWidth="1"/>
    <col min="16135" max="16384" width="9.140625" style="1"/>
  </cols>
  <sheetData>
    <row r="1" spans="1:3">
      <c r="A1" s="265"/>
      <c r="B1" s="265"/>
      <c r="C1" s="265"/>
    </row>
    <row r="2" spans="1:3">
      <c r="A2" s="266"/>
      <c r="B2" s="266"/>
      <c r="C2" s="266"/>
    </row>
    <row r="3" spans="1:3">
      <c r="B3" s="1"/>
    </row>
    <row r="4" spans="1:3">
      <c r="A4" s="265" t="s">
        <v>11</v>
      </c>
      <c r="B4" s="265"/>
      <c r="C4" s="265"/>
    </row>
    <row r="5" spans="1:3" ht="24" thickBot="1">
      <c r="A5" s="264"/>
      <c r="B5" s="264"/>
      <c r="C5" s="264"/>
    </row>
    <row r="6" spans="1:3" ht="24" thickTop="1">
      <c r="A6" s="8" t="s">
        <v>262</v>
      </c>
      <c r="B6" s="9" t="s">
        <v>12</v>
      </c>
      <c r="C6" s="10">
        <f>BOQ!F17</f>
        <v>0</v>
      </c>
    </row>
    <row r="7" spans="1:3">
      <c r="A7" s="11" t="s">
        <v>76</v>
      </c>
      <c r="B7" s="12" t="s">
        <v>12</v>
      </c>
      <c r="C7" s="13">
        <f>BOQ!F39</f>
        <v>0</v>
      </c>
    </row>
    <row r="8" spans="1:3">
      <c r="A8" s="11" t="s">
        <v>77</v>
      </c>
      <c r="B8" s="12" t="s">
        <v>12</v>
      </c>
      <c r="C8" s="13">
        <f>BOQ!F47</f>
        <v>0</v>
      </c>
    </row>
    <row r="9" spans="1:3">
      <c r="A9" s="11" t="s">
        <v>118</v>
      </c>
      <c r="B9" s="12" t="s">
        <v>12</v>
      </c>
      <c r="C9" s="13">
        <f>BOQ!F53</f>
        <v>0</v>
      </c>
    </row>
    <row r="10" spans="1:3">
      <c r="A10" s="11" t="s">
        <v>78</v>
      </c>
      <c r="B10" s="12" t="s">
        <v>12</v>
      </c>
      <c r="C10" s="13">
        <f>BOQ!F59</f>
        <v>0</v>
      </c>
    </row>
    <row r="11" spans="1:3">
      <c r="A11" s="11" t="s">
        <v>79</v>
      </c>
      <c r="B11" s="12" t="s">
        <v>12</v>
      </c>
      <c r="C11" s="13">
        <f>BOQ!F83</f>
        <v>0</v>
      </c>
    </row>
    <row r="12" spans="1:3">
      <c r="A12" s="11" t="s">
        <v>119</v>
      </c>
      <c r="B12" s="12" t="s">
        <v>12</v>
      </c>
      <c r="C12" s="13">
        <f>BOQ!F102</f>
        <v>0</v>
      </c>
    </row>
    <row r="13" spans="1:3">
      <c r="A13" s="11" t="s">
        <v>122</v>
      </c>
      <c r="B13" s="12" t="s">
        <v>12</v>
      </c>
      <c r="C13" s="13">
        <f>BOQ!F115</f>
        <v>0</v>
      </c>
    </row>
    <row r="14" spans="1:3">
      <c r="A14" s="11" t="s">
        <v>123</v>
      </c>
      <c r="B14" s="12" t="s">
        <v>12</v>
      </c>
      <c r="C14" s="13">
        <f>BOQ!F124</f>
        <v>0</v>
      </c>
    </row>
    <row r="15" spans="1:3">
      <c r="A15" s="11" t="s">
        <v>263</v>
      </c>
      <c r="B15" s="12" t="s">
        <v>12</v>
      </c>
      <c r="C15" s="13">
        <f>BOQ!F143</f>
        <v>0</v>
      </c>
    </row>
    <row r="16" spans="1:3">
      <c r="A16" s="11" t="s">
        <v>300</v>
      </c>
      <c r="B16" s="12" t="s">
        <v>12</v>
      </c>
      <c r="C16" s="13">
        <f>BOQ!F148</f>
        <v>0</v>
      </c>
    </row>
    <row r="17" spans="1:6" ht="24" thickBot="1">
      <c r="A17" s="14"/>
      <c r="B17" s="12"/>
      <c r="C17" s="13"/>
    </row>
    <row r="18" spans="1:6" ht="24.75" thickTop="1" thickBot="1">
      <c r="A18" s="15" t="s">
        <v>69</v>
      </c>
      <c r="B18" s="16" t="s">
        <v>12</v>
      </c>
      <c r="C18" s="17">
        <f>SUM(C6:C17)</f>
        <v>0</v>
      </c>
      <c r="D18" s="57"/>
    </row>
    <row r="19" spans="1:6" ht="24.75" thickTop="1" thickBot="1">
      <c r="A19" s="15" t="s">
        <v>74</v>
      </c>
      <c r="B19" s="16" t="s">
        <v>12</v>
      </c>
      <c r="C19" s="17">
        <f>C18*0.15</f>
        <v>0</v>
      </c>
      <c r="D19" s="57"/>
      <c r="E19" s="57"/>
      <c r="F19" s="69"/>
    </row>
    <row r="20" spans="1:6" ht="24.75" thickTop="1" thickBot="1">
      <c r="A20" s="15"/>
      <c r="B20" s="16"/>
      <c r="C20" s="17"/>
      <c r="D20" s="57"/>
    </row>
    <row r="21" spans="1:6" ht="24.75" thickTop="1" thickBot="1">
      <c r="A21" s="15" t="s">
        <v>75</v>
      </c>
      <c r="B21" s="16" t="s">
        <v>12</v>
      </c>
      <c r="C21" s="17">
        <f>C18+C19</f>
        <v>0</v>
      </c>
      <c r="D21" s="57"/>
    </row>
    <row r="22" spans="1:6" ht="24" thickTop="1"/>
    <row r="35" spans="1:3">
      <c r="A35" s="267" t="s">
        <v>220</v>
      </c>
      <c r="B35" s="268"/>
      <c r="C35" s="269"/>
    </row>
    <row r="644" spans="5:5">
      <c r="E644" s="1">
        <v>2660</v>
      </c>
    </row>
    <row r="725" spans="4:5">
      <c r="D725" s="1">
        <v>60</v>
      </c>
      <c r="E725" s="1">
        <v>28500</v>
      </c>
    </row>
    <row r="732" spans="4:5">
      <c r="D732" s="1">
        <v>60</v>
      </c>
    </row>
  </sheetData>
  <sheetProtection algorithmName="SHA-512" hashValue="wEFpFY3j7S/MOAsRBuPfKjRuxOwcbwuYiSUseqKULn0FWRbIuD8SMJNNfrWpmHULRDL0mQtbHA3IiddDlj3enA==" saltValue="N0vxNwlXE9Ya/kMcIBVYqA==" spinCount="100000" sheet="1" objects="1" scenarios="1"/>
  <mergeCells count="5">
    <mergeCell ref="A5:C5"/>
    <mergeCell ref="A1:C1"/>
    <mergeCell ref="A2:C2"/>
    <mergeCell ref="A4:C4"/>
    <mergeCell ref="A35:C35"/>
  </mergeCells>
  <pageMargins left="0.70866141732283505" right="0.70866141732283505" top="0.74803149606299202" bottom="0.74803149606299202" header="0.31496062992126" footer="0.31496062992126"/>
  <pageSetup scale="75" fitToHeight="0" orientation="portrait" r:id="rId1"/>
  <headerFooter>
    <oddHeader>&amp;A</oddHeader>
    <oddFooter>&amp;CPage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9"/>
  <sheetViews>
    <sheetView tabSelected="1" zoomScale="80" zoomScaleNormal="80" zoomScaleSheetLayoutView="80" workbookViewId="0">
      <selection activeCell="I5" sqref="I5"/>
    </sheetView>
  </sheetViews>
  <sheetFormatPr defaultColWidth="9.140625" defaultRowHeight="15"/>
  <cols>
    <col min="1" max="1" width="11.7109375" style="24" customWidth="1"/>
    <col min="2" max="2" width="64.28515625" style="18" customWidth="1"/>
    <col min="3" max="3" width="7.28515625" style="63" customWidth="1"/>
    <col min="4" max="4" width="10.42578125" style="19" bestFit="1" customWidth="1"/>
    <col min="5" max="5" width="11.7109375" style="236" customWidth="1"/>
    <col min="6" max="6" width="13.7109375" style="61" bestFit="1" customWidth="1"/>
    <col min="7" max="16384" width="9.140625" style="18"/>
  </cols>
  <sheetData>
    <row r="1" spans="1:6" s="61" customFormat="1" ht="15.75" thickBot="1">
      <c r="A1" s="208" t="s">
        <v>221</v>
      </c>
      <c r="B1" s="208"/>
      <c r="C1" s="208"/>
      <c r="D1" s="208"/>
      <c r="E1" s="209"/>
      <c r="F1" s="208"/>
    </row>
    <row r="2" spans="1:6" ht="30.75" thickBot="1">
      <c r="A2" s="26" t="s">
        <v>0</v>
      </c>
      <c r="B2" s="27" t="s">
        <v>1</v>
      </c>
      <c r="C2" s="58" t="s">
        <v>2</v>
      </c>
      <c r="D2" s="66" t="s">
        <v>3</v>
      </c>
      <c r="E2" s="210" t="s">
        <v>4</v>
      </c>
      <c r="F2" s="59" t="s">
        <v>3</v>
      </c>
    </row>
    <row r="3" spans="1:6">
      <c r="A3" s="76"/>
      <c r="B3" s="77"/>
      <c r="C3" s="78"/>
      <c r="D3" s="79"/>
      <c r="E3" s="211"/>
      <c r="F3" s="80"/>
    </row>
    <row r="4" spans="1:6" s="32" customFormat="1">
      <c r="A4" s="98" t="s">
        <v>80</v>
      </c>
      <c r="B4" s="28" t="s">
        <v>222</v>
      </c>
      <c r="C4" s="29"/>
      <c r="D4" s="30"/>
      <c r="E4" s="212"/>
      <c r="F4" s="31"/>
    </row>
    <row r="5" spans="1:6" ht="75">
      <c r="A5" s="2"/>
      <c r="B5" s="35" t="s">
        <v>214</v>
      </c>
      <c r="C5" s="3"/>
      <c r="D5" s="25"/>
      <c r="E5" s="213"/>
      <c r="F5" s="21"/>
    </row>
    <row r="6" spans="1:6" s="32" customFormat="1">
      <c r="A6" s="86" t="s">
        <v>126</v>
      </c>
      <c r="B6" s="28" t="s">
        <v>223</v>
      </c>
      <c r="C6" s="29"/>
      <c r="D6" s="30"/>
      <c r="E6" s="212"/>
      <c r="F6" s="31"/>
    </row>
    <row r="7" spans="1:6" ht="51" customHeight="1">
      <c r="A7" s="4"/>
      <c r="B7" s="36" t="s">
        <v>224</v>
      </c>
      <c r="C7" s="5"/>
      <c r="D7" s="37"/>
      <c r="E7" s="214"/>
      <c r="F7" s="7"/>
    </row>
    <row r="8" spans="1:6" ht="25.9" customHeight="1">
      <c r="A8" s="85" t="s">
        <v>127</v>
      </c>
      <c r="B8" s="38" t="s">
        <v>226</v>
      </c>
      <c r="C8" s="5" t="s">
        <v>66</v>
      </c>
      <c r="D8" s="37">
        <v>75</v>
      </c>
      <c r="E8" s="214"/>
      <c r="F8" s="7">
        <f t="shared" ref="F8:F15" si="0">D8*E8</f>
        <v>0</v>
      </c>
    </row>
    <row r="9" spans="1:6" ht="25.9" customHeight="1">
      <c r="A9" s="85" t="s">
        <v>128</v>
      </c>
      <c r="B9" s="38" t="s">
        <v>225</v>
      </c>
      <c r="C9" s="5" t="s">
        <v>66</v>
      </c>
      <c r="D9" s="37">
        <v>65</v>
      </c>
      <c r="E9" s="214"/>
      <c r="F9" s="7">
        <f t="shared" si="0"/>
        <v>0</v>
      </c>
    </row>
    <row r="10" spans="1:6" ht="25.9" customHeight="1">
      <c r="A10" s="85" t="s">
        <v>227</v>
      </c>
      <c r="B10" s="38" t="s">
        <v>297</v>
      </c>
      <c r="C10" s="5" t="s">
        <v>66</v>
      </c>
      <c r="D10" s="37">
        <v>410</v>
      </c>
      <c r="E10" s="214"/>
      <c r="F10" s="7">
        <f t="shared" si="0"/>
        <v>0</v>
      </c>
    </row>
    <row r="11" spans="1:6" ht="25.9" customHeight="1">
      <c r="A11" s="85" t="s">
        <v>228</v>
      </c>
      <c r="B11" s="38" t="s">
        <v>291</v>
      </c>
      <c r="C11" s="5" t="s">
        <v>7</v>
      </c>
      <c r="D11" s="37">
        <v>450</v>
      </c>
      <c r="E11" s="214"/>
      <c r="F11" s="7">
        <f t="shared" si="0"/>
        <v>0</v>
      </c>
    </row>
    <row r="12" spans="1:6" ht="25.9" customHeight="1">
      <c r="A12" s="85" t="s">
        <v>229</v>
      </c>
      <c r="B12" s="38" t="s">
        <v>292</v>
      </c>
      <c r="C12" s="5" t="s">
        <v>7</v>
      </c>
      <c r="D12" s="37">
        <v>390</v>
      </c>
      <c r="E12" s="214"/>
      <c r="F12" s="7">
        <f t="shared" si="0"/>
        <v>0</v>
      </c>
    </row>
    <row r="13" spans="1:6" ht="25.9" customHeight="1">
      <c r="A13" s="85" t="s">
        <v>230</v>
      </c>
      <c r="B13" s="38" t="s">
        <v>231</v>
      </c>
      <c r="C13" s="5" t="s">
        <v>66</v>
      </c>
      <c r="D13" s="37">
        <v>540</v>
      </c>
      <c r="E13" s="214"/>
      <c r="F13" s="7">
        <f t="shared" si="0"/>
        <v>0</v>
      </c>
    </row>
    <row r="14" spans="1:6" ht="25.9" customHeight="1">
      <c r="A14" s="85" t="s">
        <v>234</v>
      </c>
      <c r="B14" s="38" t="s">
        <v>232</v>
      </c>
      <c r="C14" s="5" t="s">
        <v>66</v>
      </c>
      <c r="D14" s="37">
        <v>75</v>
      </c>
      <c r="E14" s="214"/>
      <c r="F14" s="7">
        <f t="shared" si="0"/>
        <v>0</v>
      </c>
    </row>
    <row r="15" spans="1:6" ht="25.9" customHeight="1">
      <c r="A15" s="85" t="s">
        <v>235</v>
      </c>
      <c r="B15" s="38" t="s">
        <v>233</v>
      </c>
      <c r="C15" s="5" t="s">
        <v>66</v>
      </c>
      <c r="D15" s="37">
        <v>70</v>
      </c>
      <c r="E15" s="214"/>
      <c r="F15" s="7">
        <f t="shared" si="0"/>
        <v>0</v>
      </c>
    </row>
    <row r="16" spans="1:6" ht="25.9" customHeight="1">
      <c r="A16" s="203"/>
      <c r="B16" s="206"/>
      <c r="C16" s="204"/>
      <c r="D16" s="205"/>
      <c r="E16" s="215"/>
      <c r="F16" s="207"/>
    </row>
    <row r="17" spans="1:12" s="32" customFormat="1" ht="15.75" thickBot="1">
      <c r="A17" s="159" t="s">
        <v>80</v>
      </c>
      <c r="B17" s="160" t="s">
        <v>261</v>
      </c>
      <c r="C17" s="161"/>
      <c r="D17" s="162"/>
      <c r="E17" s="216"/>
      <c r="F17" s="163">
        <f>SUM(F8:F16)</f>
        <v>0</v>
      </c>
    </row>
    <row r="18" spans="1:12" ht="15.75" thickBot="1">
      <c r="A18" s="150"/>
      <c r="B18" s="151"/>
      <c r="C18" s="152"/>
      <c r="D18" s="153"/>
      <c r="E18" s="217"/>
      <c r="F18" s="154"/>
    </row>
    <row r="19" spans="1:12" s="32" customFormat="1">
      <c r="A19" s="136" t="s">
        <v>14</v>
      </c>
      <c r="B19" s="155" t="s">
        <v>16</v>
      </c>
      <c r="C19" s="156"/>
      <c r="D19" s="157"/>
      <c r="E19" s="218"/>
      <c r="F19" s="158"/>
    </row>
    <row r="20" spans="1:12" s="32" customFormat="1">
      <c r="A20" s="86" t="s">
        <v>129</v>
      </c>
      <c r="B20" s="28" t="s">
        <v>17</v>
      </c>
      <c r="C20" s="29"/>
      <c r="D20" s="30"/>
      <c r="E20" s="212"/>
      <c r="F20" s="31"/>
    </row>
    <row r="21" spans="1:12" ht="300">
      <c r="A21" s="86"/>
      <c r="B21" s="39" t="s">
        <v>211</v>
      </c>
      <c r="C21" s="6"/>
      <c r="D21" s="21"/>
      <c r="E21" s="214"/>
      <c r="F21" s="7"/>
    </row>
    <row r="22" spans="1:12" s="32" customFormat="1" ht="42.75" customHeight="1">
      <c r="A22" s="87" t="s">
        <v>130</v>
      </c>
      <c r="B22" s="84" t="s">
        <v>81</v>
      </c>
      <c r="C22" s="29"/>
      <c r="D22" s="30"/>
      <c r="E22" s="212"/>
      <c r="F22" s="31"/>
    </row>
    <row r="23" spans="1:12" ht="17.25">
      <c r="A23" s="85" t="s">
        <v>131</v>
      </c>
      <c r="B23" s="38" t="s">
        <v>250</v>
      </c>
      <c r="C23" s="6" t="s">
        <v>66</v>
      </c>
      <c r="D23" s="37">
        <v>40</v>
      </c>
      <c r="E23" s="214"/>
      <c r="F23" s="7">
        <f>D23*E23</f>
        <v>0</v>
      </c>
    </row>
    <row r="24" spans="1:12" s="32" customFormat="1">
      <c r="A24" s="87" t="s">
        <v>132</v>
      </c>
      <c r="B24" s="28" t="s">
        <v>6</v>
      </c>
      <c r="C24" s="29"/>
      <c r="D24" s="30"/>
      <c r="E24" s="212"/>
      <c r="F24" s="31"/>
    </row>
    <row r="25" spans="1:12" s="32" customFormat="1" ht="60">
      <c r="A25" s="87" t="s">
        <v>133</v>
      </c>
      <c r="B25" s="84" t="s">
        <v>82</v>
      </c>
      <c r="C25" s="29"/>
      <c r="D25" s="30"/>
      <c r="E25" s="212"/>
      <c r="F25" s="31"/>
    </row>
    <row r="26" spans="1:12" ht="30">
      <c r="A26" s="85" t="s">
        <v>134</v>
      </c>
      <c r="B26" s="38" t="s">
        <v>251</v>
      </c>
      <c r="C26" s="44" t="s">
        <v>83</v>
      </c>
      <c r="D26" s="37">
        <v>40</v>
      </c>
      <c r="E26" s="214"/>
      <c r="F26" s="7">
        <f t="shared" ref="F26" si="1">D26*E26</f>
        <v>0</v>
      </c>
    </row>
    <row r="27" spans="1:12">
      <c r="A27" s="4"/>
      <c r="B27" s="38"/>
      <c r="C27" s="44"/>
      <c r="D27" s="37"/>
      <c r="E27" s="214"/>
      <c r="F27" s="7"/>
    </row>
    <row r="28" spans="1:12">
      <c r="A28" s="87" t="s">
        <v>271</v>
      </c>
      <c r="B28" s="28" t="s">
        <v>8</v>
      </c>
      <c r="C28" s="29"/>
      <c r="D28" s="30"/>
      <c r="E28" s="212"/>
      <c r="F28" s="31"/>
    </row>
    <row r="29" spans="1:12" s="32" customFormat="1" ht="81" customHeight="1">
      <c r="A29" s="4"/>
      <c r="B29" s="94" t="s">
        <v>293</v>
      </c>
      <c r="C29" s="44"/>
      <c r="D29" s="21"/>
      <c r="E29" s="214"/>
      <c r="F29" s="7"/>
    </row>
    <row r="30" spans="1:12">
      <c r="A30" s="4"/>
      <c r="B30" s="46"/>
      <c r="C30" s="44"/>
      <c r="D30" s="21"/>
      <c r="E30" s="214"/>
      <c r="F30" s="7"/>
      <c r="G30" s="32"/>
      <c r="H30" s="32"/>
      <c r="I30" s="32"/>
      <c r="J30" s="32"/>
      <c r="K30" s="32"/>
      <c r="L30" s="32"/>
    </row>
    <row r="31" spans="1:12" ht="30">
      <c r="A31" s="85" t="s">
        <v>272</v>
      </c>
      <c r="B31" s="38" t="s">
        <v>70</v>
      </c>
      <c r="C31" s="5" t="s">
        <v>9</v>
      </c>
      <c r="D31" s="21"/>
      <c r="E31" s="214"/>
      <c r="F31" s="7">
        <f t="shared" ref="F31" si="2">D31*E31</f>
        <v>0</v>
      </c>
      <c r="G31" s="32"/>
      <c r="H31" s="32"/>
      <c r="I31" s="32"/>
      <c r="J31" s="32"/>
      <c r="K31" s="32"/>
      <c r="L31" s="32"/>
    </row>
    <row r="32" spans="1:12" ht="30">
      <c r="A32" s="85" t="s">
        <v>273</v>
      </c>
      <c r="B32" s="38" t="s">
        <v>18</v>
      </c>
      <c r="C32" s="5" t="s">
        <v>9</v>
      </c>
      <c r="D32" s="21">
        <v>634.923</v>
      </c>
      <c r="E32" s="214"/>
      <c r="F32" s="7">
        <f t="shared" ref="F32" si="3">D32*E32</f>
        <v>0</v>
      </c>
      <c r="G32" s="32"/>
      <c r="H32" s="32"/>
      <c r="I32" s="32"/>
      <c r="J32" s="32"/>
      <c r="K32" s="32"/>
      <c r="L32" s="32"/>
    </row>
    <row r="33" spans="1:12">
      <c r="A33" s="4"/>
      <c r="B33" s="38"/>
      <c r="C33" s="5"/>
      <c r="D33" s="21"/>
      <c r="E33" s="214"/>
      <c r="F33" s="7"/>
      <c r="G33" s="32"/>
      <c r="H33" s="32"/>
      <c r="I33" s="32"/>
      <c r="J33" s="32"/>
      <c r="K33" s="32"/>
      <c r="L33" s="32"/>
    </row>
    <row r="34" spans="1:12">
      <c r="A34" s="86" t="s">
        <v>135</v>
      </c>
      <c r="B34" s="28" t="s">
        <v>19</v>
      </c>
      <c r="C34" s="29"/>
      <c r="D34" s="30"/>
      <c r="E34" s="212"/>
      <c r="F34" s="31"/>
      <c r="G34" s="32"/>
      <c r="H34" s="32"/>
      <c r="I34" s="32"/>
      <c r="J34" s="32"/>
      <c r="K34" s="32"/>
      <c r="L34" s="32"/>
    </row>
    <row r="35" spans="1:12" s="32" customFormat="1">
      <c r="A35" s="87" t="s">
        <v>136</v>
      </c>
      <c r="B35" s="28" t="s">
        <v>20</v>
      </c>
      <c r="C35" s="29"/>
      <c r="D35" s="30"/>
      <c r="E35" s="212"/>
      <c r="F35" s="31"/>
    </row>
    <row r="36" spans="1:12" s="32" customFormat="1" ht="145.9" customHeight="1">
      <c r="A36" s="4"/>
      <c r="B36" s="46" t="s">
        <v>84</v>
      </c>
      <c r="C36" s="44"/>
      <c r="D36" s="21"/>
      <c r="E36" s="214"/>
      <c r="F36" s="7"/>
    </row>
    <row r="37" spans="1:12" ht="75">
      <c r="A37" s="85" t="s">
        <v>137</v>
      </c>
      <c r="B37" s="45" t="s">
        <v>294</v>
      </c>
      <c r="C37" s="44" t="s">
        <v>7</v>
      </c>
      <c r="D37" s="37">
        <v>12</v>
      </c>
      <c r="E37" s="214"/>
      <c r="F37" s="7">
        <f>D37*E37</f>
        <v>0</v>
      </c>
    </row>
    <row r="38" spans="1:12">
      <c r="A38" s="4"/>
      <c r="B38" s="45"/>
      <c r="C38" s="44"/>
      <c r="D38" s="37"/>
      <c r="E38" s="214"/>
      <c r="F38" s="7"/>
    </row>
    <row r="39" spans="1:12" s="32" customFormat="1" ht="15.75" thickBot="1">
      <c r="A39" s="159" t="s">
        <v>14</v>
      </c>
      <c r="B39" s="160" t="s">
        <v>10</v>
      </c>
      <c r="C39" s="161"/>
      <c r="D39" s="162"/>
      <c r="E39" s="216"/>
      <c r="F39" s="163">
        <f>SUM(F23:F38)</f>
        <v>0</v>
      </c>
    </row>
    <row r="40" spans="1:12" s="32" customFormat="1">
      <c r="A40" s="136" t="s">
        <v>15</v>
      </c>
      <c r="B40" s="155" t="s">
        <v>22</v>
      </c>
      <c r="C40" s="156"/>
      <c r="D40" s="157"/>
      <c r="E40" s="218"/>
      <c r="F40" s="158"/>
    </row>
    <row r="41" spans="1:12" s="32" customFormat="1">
      <c r="A41" s="86" t="s">
        <v>85</v>
      </c>
      <c r="B41" s="28" t="s">
        <v>23</v>
      </c>
      <c r="C41" s="29"/>
      <c r="D41" s="30"/>
      <c r="E41" s="212"/>
      <c r="F41" s="31"/>
    </row>
    <row r="42" spans="1:12" s="32" customFormat="1" ht="45">
      <c r="A42" s="87" t="s">
        <v>86</v>
      </c>
      <c r="B42" s="50" t="s">
        <v>68</v>
      </c>
      <c r="C42" s="29"/>
      <c r="D42" s="30"/>
      <c r="E42" s="212"/>
      <c r="F42" s="31"/>
    </row>
    <row r="43" spans="1:12" ht="63.75" customHeight="1">
      <c r="A43" s="85" t="s">
        <v>138</v>
      </c>
      <c r="B43" s="51" t="s">
        <v>72</v>
      </c>
      <c r="C43" s="44" t="s">
        <v>5</v>
      </c>
      <c r="D43" s="37">
        <v>25.64</v>
      </c>
      <c r="E43" s="214"/>
      <c r="F43" s="7">
        <f>D43*E43</f>
        <v>0</v>
      </c>
    </row>
    <row r="44" spans="1:12" ht="60" customHeight="1">
      <c r="A44" s="85" t="s">
        <v>139</v>
      </c>
      <c r="B44" s="51" t="s">
        <v>73</v>
      </c>
      <c r="C44" s="44" t="s">
        <v>5</v>
      </c>
      <c r="D44" s="37">
        <v>8.3999999999999986</v>
      </c>
      <c r="E44" s="214"/>
      <c r="F44" s="7">
        <f>D44*E44</f>
        <v>0</v>
      </c>
    </row>
    <row r="45" spans="1:12" ht="60" customHeight="1">
      <c r="A45" s="85" t="s">
        <v>274</v>
      </c>
      <c r="B45" s="51" t="s">
        <v>254</v>
      </c>
      <c r="C45" s="44" t="s">
        <v>5</v>
      </c>
      <c r="D45" s="37">
        <v>24.08</v>
      </c>
      <c r="E45" s="214"/>
      <c r="F45" s="7">
        <f>D45*E45</f>
        <v>0</v>
      </c>
    </row>
    <row r="46" spans="1:12">
      <c r="A46" s="4"/>
      <c r="B46" s="49"/>
      <c r="C46" s="44"/>
      <c r="D46" s="21"/>
      <c r="E46" s="214"/>
      <c r="F46" s="7"/>
    </row>
    <row r="47" spans="1:12" s="32" customFormat="1" ht="15.75" thickBot="1">
      <c r="A47" s="89" t="s">
        <v>15</v>
      </c>
      <c r="B47" s="40" t="s">
        <v>13</v>
      </c>
      <c r="C47" s="41"/>
      <c r="D47" s="42"/>
      <c r="E47" s="219"/>
      <c r="F47" s="43">
        <f>SUM(F41:F46)</f>
        <v>0</v>
      </c>
    </row>
    <row r="48" spans="1:12" ht="18" thickTop="1">
      <c r="A48" s="4"/>
      <c r="B48" s="47"/>
      <c r="C48" s="44"/>
      <c r="D48" s="21"/>
      <c r="E48" s="214"/>
      <c r="F48" s="48"/>
    </row>
    <row r="49" spans="1:6" s="32" customFormat="1" ht="21.75" customHeight="1">
      <c r="A49" s="98" t="s">
        <v>21</v>
      </c>
      <c r="B49" s="28" t="s">
        <v>120</v>
      </c>
      <c r="C49" s="29"/>
      <c r="D49" s="30"/>
      <c r="E49" s="212"/>
      <c r="F49" s="31"/>
    </row>
    <row r="50" spans="1:6" ht="69.75" customHeight="1">
      <c r="A50" s="90">
        <v>4.0999999999999996</v>
      </c>
      <c r="B50" s="97" t="s">
        <v>295</v>
      </c>
      <c r="C50" s="44" t="s">
        <v>5</v>
      </c>
      <c r="D50" s="21">
        <v>540</v>
      </c>
      <c r="E50" s="220"/>
      <c r="F50" s="7">
        <f>E50*D50</f>
        <v>0</v>
      </c>
    </row>
    <row r="51" spans="1:6" ht="64.150000000000006" customHeight="1">
      <c r="A51" s="90">
        <v>4.2</v>
      </c>
      <c r="B51" s="97" t="s">
        <v>212</v>
      </c>
      <c r="C51" s="44" t="s">
        <v>5</v>
      </c>
      <c r="D51" s="21">
        <v>40</v>
      </c>
      <c r="E51" s="220"/>
      <c r="F51" s="7">
        <f>E51*D51</f>
        <v>0</v>
      </c>
    </row>
    <row r="52" spans="1:6">
      <c r="A52" s="23"/>
      <c r="B52" s="62"/>
      <c r="C52" s="60"/>
      <c r="D52" s="21"/>
      <c r="E52" s="220"/>
      <c r="F52" s="7"/>
    </row>
    <row r="53" spans="1:6" s="32" customFormat="1" ht="15.75" thickBot="1">
      <c r="A53" s="89" t="s">
        <v>21</v>
      </c>
      <c r="B53" s="40" t="s">
        <v>121</v>
      </c>
      <c r="C53" s="41"/>
      <c r="D53" s="42"/>
      <c r="E53" s="219"/>
      <c r="F53" s="43">
        <f>SUM(F50:F52)</f>
        <v>0</v>
      </c>
    </row>
    <row r="54" spans="1:6" ht="18" thickTop="1">
      <c r="A54" s="4"/>
      <c r="B54" s="81"/>
      <c r="C54" s="44"/>
      <c r="D54" s="21"/>
      <c r="E54" s="214"/>
      <c r="F54" s="48"/>
    </row>
    <row r="55" spans="1:6" s="32" customFormat="1">
      <c r="A55" s="86" t="s">
        <v>24</v>
      </c>
      <c r="B55" s="28" t="s">
        <v>61</v>
      </c>
      <c r="C55" s="29"/>
      <c r="D55" s="30"/>
      <c r="E55" s="212"/>
      <c r="F55" s="31"/>
    </row>
    <row r="56" spans="1:6" s="32" customFormat="1">
      <c r="A56" s="87" t="s">
        <v>87</v>
      </c>
      <c r="B56" s="50" t="s">
        <v>71</v>
      </c>
      <c r="C56" s="29"/>
      <c r="D56" s="30"/>
      <c r="E56" s="212"/>
      <c r="F56" s="31"/>
    </row>
    <row r="57" spans="1:6" ht="66" customHeight="1">
      <c r="A57" s="90" t="s">
        <v>88</v>
      </c>
      <c r="B57" s="97" t="s">
        <v>298</v>
      </c>
      <c r="C57" s="44" t="s">
        <v>5</v>
      </c>
      <c r="D57" s="21">
        <v>70</v>
      </c>
      <c r="E57" s="220"/>
      <c r="F57" s="7">
        <f>E57*D57</f>
        <v>0</v>
      </c>
    </row>
    <row r="58" spans="1:6">
      <c r="A58" s="23"/>
      <c r="B58" s="62"/>
      <c r="C58" s="60"/>
      <c r="D58" s="21"/>
      <c r="E58" s="220"/>
      <c r="F58" s="7"/>
    </row>
    <row r="59" spans="1:6" s="32" customFormat="1" ht="15.75" thickBot="1">
      <c r="A59" s="159" t="s">
        <v>24</v>
      </c>
      <c r="B59" s="160" t="s">
        <v>62</v>
      </c>
      <c r="C59" s="161"/>
      <c r="D59" s="162"/>
      <c r="E59" s="216"/>
      <c r="F59" s="163">
        <f>SUM(F56:F58)</f>
        <v>0</v>
      </c>
    </row>
    <row r="60" spans="1:6" s="32" customFormat="1">
      <c r="A60" s="136" t="s">
        <v>140</v>
      </c>
      <c r="B60" s="155" t="s">
        <v>25</v>
      </c>
      <c r="C60" s="156"/>
      <c r="D60" s="157"/>
      <c r="E60" s="218"/>
      <c r="F60" s="158"/>
    </row>
    <row r="61" spans="1:6" s="32" customFormat="1">
      <c r="A61" s="87" t="s">
        <v>91</v>
      </c>
      <c r="B61" s="28" t="s">
        <v>63</v>
      </c>
      <c r="C61" s="29"/>
      <c r="D61" s="30"/>
      <c r="E61" s="212"/>
      <c r="F61" s="31"/>
    </row>
    <row r="62" spans="1:6" s="32" customFormat="1" ht="169.5" customHeight="1">
      <c r="A62" s="82"/>
      <c r="B62" s="91" t="s">
        <v>89</v>
      </c>
      <c r="C62" s="33"/>
      <c r="D62" s="34"/>
      <c r="E62" s="221"/>
      <c r="F62" s="83"/>
    </row>
    <row r="63" spans="1:6" s="32" customFormat="1" ht="148.5" customHeight="1">
      <c r="A63" s="82"/>
      <c r="B63" s="52" t="s">
        <v>67</v>
      </c>
      <c r="C63" s="33"/>
      <c r="D63" s="34"/>
      <c r="E63" s="221"/>
      <c r="F63" s="83"/>
    </row>
    <row r="64" spans="1:6" s="32" customFormat="1">
      <c r="A64" s="93" t="s">
        <v>92</v>
      </c>
      <c r="B64" s="53" t="s">
        <v>90</v>
      </c>
      <c r="C64" s="54"/>
      <c r="D64" s="34"/>
      <c r="E64" s="221"/>
      <c r="F64" s="83"/>
    </row>
    <row r="65" spans="1:6" s="56" customFormat="1" ht="30">
      <c r="A65" s="92" t="s">
        <v>141</v>
      </c>
      <c r="B65" s="52" t="s">
        <v>236</v>
      </c>
      <c r="C65" s="33" t="s">
        <v>26</v>
      </c>
      <c r="D65" s="55">
        <v>5</v>
      </c>
      <c r="E65" s="222"/>
      <c r="F65" s="65">
        <f>D65*E65</f>
        <v>0</v>
      </c>
    </row>
    <row r="66" spans="1:6" s="56" customFormat="1" ht="25.5" customHeight="1">
      <c r="A66" s="92" t="s">
        <v>142</v>
      </c>
      <c r="B66" s="52" t="s">
        <v>237</v>
      </c>
      <c r="C66" s="33" t="s">
        <v>26</v>
      </c>
      <c r="D66" s="55">
        <v>25</v>
      </c>
      <c r="E66" s="222"/>
      <c r="F66" s="65">
        <f>D66*E66</f>
        <v>0</v>
      </c>
    </row>
    <row r="67" spans="1:6" s="56" customFormat="1" ht="30">
      <c r="A67" s="92" t="s">
        <v>275</v>
      </c>
      <c r="B67" s="52" t="s">
        <v>239</v>
      </c>
      <c r="C67" s="33" t="s">
        <v>26</v>
      </c>
      <c r="D67" s="55">
        <v>4</v>
      </c>
      <c r="E67" s="222"/>
      <c r="F67" s="65">
        <f>D67*E67</f>
        <v>0</v>
      </c>
    </row>
    <row r="68" spans="1:6" s="56" customFormat="1" ht="25.5" customHeight="1">
      <c r="A68" s="92" t="s">
        <v>276</v>
      </c>
      <c r="B68" s="52" t="s">
        <v>238</v>
      </c>
      <c r="C68" s="33" t="s">
        <v>26</v>
      </c>
      <c r="D68" s="55">
        <v>2</v>
      </c>
      <c r="E68" s="222"/>
      <c r="F68" s="65">
        <f>D68*E68</f>
        <v>0</v>
      </c>
    </row>
    <row r="69" spans="1:6" s="56" customFormat="1">
      <c r="A69" s="64"/>
      <c r="B69" s="52"/>
      <c r="C69" s="33"/>
      <c r="D69" s="55"/>
      <c r="E69" s="222"/>
      <c r="F69" s="65"/>
    </row>
    <row r="70" spans="1:6" s="32" customFormat="1">
      <c r="A70" s="93" t="s">
        <v>93</v>
      </c>
      <c r="B70" s="53" t="s">
        <v>64</v>
      </c>
      <c r="C70" s="54"/>
      <c r="D70" s="34"/>
      <c r="E70" s="221"/>
      <c r="F70" s="83"/>
    </row>
    <row r="71" spans="1:6" s="56" customFormat="1" ht="30">
      <c r="A71" s="92" t="s">
        <v>143</v>
      </c>
      <c r="B71" s="52" t="s">
        <v>240</v>
      </c>
      <c r="C71" s="33" t="s">
        <v>26</v>
      </c>
      <c r="D71" s="55">
        <v>16</v>
      </c>
      <c r="E71" s="222"/>
      <c r="F71" s="65">
        <f t="shared" ref="F71:F78" si="4">D71*E71</f>
        <v>0</v>
      </c>
    </row>
    <row r="72" spans="1:6" s="56" customFormat="1" ht="30">
      <c r="A72" s="92" t="s">
        <v>144</v>
      </c>
      <c r="B72" s="52" t="s">
        <v>241</v>
      </c>
      <c r="C72" s="33" t="s">
        <v>26</v>
      </c>
      <c r="D72" s="55">
        <v>1</v>
      </c>
      <c r="E72" s="222"/>
      <c r="F72" s="65">
        <f t="shared" si="4"/>
        <v>0</v>
      </c>
    </row>
    <row r="73" spans="1:6" s="56" customFormat="1" ht="30">
      <c r="A73" s="92" t="s">
        <v>145</v>
      </c>
      <c r="B73" s="52" t="s">
        <v>296</v>
      </c>
      <c r="C73" s="33" t="s">
        <v>26</v>
      </c>
      <c r="D73" s="55">
        <v>1</v>
      </c>
      <c r="E73" s="222"/>
      <c r="F73" s="65">
        <f t="shared" si="4"/>
        <v>0</v>
      </c>
    </row>
    <row r="74" spans="1:6" s="56" customFormat="1" ht="30">
      <c r="A74" s="92" t="s">
        <v>146</v>
      </c>
      <c r="B74" s="52" t="s">
        <v>242</v>
      </c>
      <c r="C74" s="33" t="s">
        <v>26</v>
      </c>
      <c r="D74" s="55">
        <v>2</v>
      </c>
      <c r="E74" s="222"/>
      <c r="F74" s="65">
        <f t="shared" si="4"/>
        <v>0</v>
      </c>
    </row>
    <row r="75" spans="1:6" s="56" customFormat="1" ht="30">
      <c r="A75" s="92" t="s">
        <v>277</v>
      </c>
      <c r="B75" s="52" t="s">
        <v>243</v>
      </c>
      <c r="C75" s="33" t="s">
        <v>26</v>
      </c>
      <c r="D75" s="55">
        <v>1</v>
      </c>
      <c r="E75" s="222"/>
      <c r="F75" s="65">
        <f t="shared" si="4"/>
        <v>0</v>
      </c>
    </row>
    <row r="76" spans="1:6" s="56" customFormat="1" ht="30">
      <c r="A76" s="92" t="s">
        <v>278</v>
      </c>
      <c r="B76" s="52" t="s">
        <v>244</v>
      </c>
      <c r="C76" s="33" t="s">
        <v>26</v>
      </c>
      <c r="D76" s="55">
        <v>2</v>
      </c>
      <c r="E76" s="222"/>
      <c r="F76" s="65">
        <f t="shared" si="4"/>
        <v>0</v>
      </c>
    </row>
    <row r="77" spans="1:6" s="56" customFormat="1" ht="30">
      <c r="A77" s="92" t="s">
        <v>279</v>
      </c>
      <c r="B77" s="52" t="s">
        <v>245</v>
      </c>
      <c r="C77" s="33" t="s">
        <v>26</v>
      </c>
      <c r="D77" s="55">
        <v>1</v>
      </c>
      <c r="E77" s="222"/>
      <c r="F77" s="65">
        <f t="shared" si="4"/>
        <v>0</v>
      </c>
    </row>
    <row r="78" spans="1:6" s="56" customFormat="1" ht="30">
      <c r="A78" s="92" t="s">
        <v>280</v>
      </c>
      <c r="B78" s="52" t="s">
        <v>246</v>
      </c>
      <c r="C78" s="33" t="s">
        <v>26</v>
      </c>
      <c r="D78" s="55">
        <v>1</v>
      </c>
      <c r="E78" s="222"/>
      <c r="F78" s="65">
        <f t="shared" si="4"/>
        <v>0</v>
      </c>
    </row>
    <row r="79" spans="1:6" s="56" customFormat="1" ht="30">
      <c r="A79" s="92" t="s">
        <v>281</v>
      </c>
      <c r="B79" s="52" t="s">
        <v>247</v>
      </c>
      <c r="C79" s="33" t="s">
        <v>26</v>
      </c>
      <c r="D79" s="55">
        <v>2</v>
      </c>
      <c r="E79" s="222"/>
      <c r="F79" s="65">
        <f t="shared" ref="F79:F82" si="5">D79*E79</f>
        <v>0</v>
      </c>
    </row>
    <row r="80" spans="1:6" s="56" customFormat="1" ht="30">
      <c r="A80" s="92" t="s">
        <v>282</v>
      </c>
      <c r="B80" s="52" t="s">
        <v>248</v>
      </c>
      <c r="C80" s="33" t="s">
        <v>26</v>
      </c>
      <c r="D80" s="55">
        <v>1</v>
      </c>
      <c r="E80" s="222"/>
      <c r="F80" s="65">
        <f t="shared" si="5"/>
        <v>0</v>
      </c>
    </row>
    <row r="81" spans="1:6" s="56" customFormat="1" ht="30">
      <c r="A81" s="92" t="s">
        <v>283</v>
      </c>
      <c r="B81" s="52" t="s">
        <v>249</v>
      </c>
      <c r="C81" s="33" t="s">
        <v>26</v>
      </c>
      <c r="D81" s="55">
        <v>1</v>
      </c>
      <c r="E81" s="222"/>
      <c r="F81" s="65">
        <f t="shared" si="5"/>
        <v>0</v>
      </c>
    </row>
    <row r="82" spans="1:6" s="56" customFormat="1" ht="30">
      <c r="A82" s="92" t="s">
        <v>284</v>
      </c>
      <c r="B82" s="52" t="s">
        <v>259</v>
      </c>
      <c r="C82" s="33" t="s">
        <v>26</v>
      </c>
      <c r="D82" s="55">
        <v>1</v>
      </c>
      <c r="E82" s="222"/>
      <c r="F82" s="65">
        <f t="shared" si="5"/>
        <v>0</v>
      </c>
    </row>
    <row r="83" spans="1:6" s="32" customFormat="1" ht="15.75" thickBot="1">
      <c r="A83" s="159" t="s">
        <v>140</v>
      </c>
      <c r="B83" s="160" t="s">
        <v>28</v>
      </c>
      <c r="C83" s="161"/>
      <c r="D83" s="162"/>
      <c r="E83" s="216"/>
      <c r="F83" s="163">
        <f>SUM(F62:F82)</f>
        <v>0</v>
      </c>
    </row>
    <row r="84" spans="1:6" s="95" customFormat="1">
      <c r="A84" s="136" t="s">
        <v>147</v>
      </c>
      <c r="B84" s="140" t="s">
        <v>95</v>
      </c>
      <c r="C84" s="144"/>
      <c r="D84" s="147"/>
      <c r="E84" s="223"/>
      <c r="F84" s="147"/>
    </row>
    <row r="85" spans="1:6" s="95" customFormat="1" ht="105">
      <c r="A85" s="137"/>
      <c r="B85" s="141" t="s">
        <v>96</v>
      </c>
      <c r="C85" s="145"/>
      <c r="D85" s="148"/>
      <c r="E85" s="224"/>
      <c r="F85" s="21"/>
    </row>
    <row r="86" spans="1:6" s="68" customFormat="1" ht="120">
      <c r="A86" s="138"/>
      <c r="B86" s="46" t="s">
        <v>97</v>
      </c>
      <c r="C86" s="44"/>
      <c r="D86" s="148"/>
      <c r="E86" s="214"/>
      <c r="F86" s="7"/>
    </row>
    <row r="87" spans="1:6" s="67" customFormat="1" ht="105">
      <c r="A87" s="138"/>
      <c r="B87" s="142" t="s">
        <v>98</v>
      </c>
      <c r="C87" s="44"/>
      <c r="D87" s="148"/>
      <c r="E87" s="214"/>
      <c r="F87" s="7"/>
    </row>
    <row r="88" spans="1:6" s="68" customFormat="1">
      <c r="A88" s="193">
        <v>7.1</v>
      </c>
      <c r="B88" s="194" t="s">
        <v>99</v>
      </c>
      <c r="C88" s="44"/>
      <c r="D88" s="148"/>
      <c r="E88" s="214"/>
      <c r="F88" s="7"/>
    </row>
    <row r="89" spans="1:6" s="68" customFormat="1">
      <c r="A89" s="195" t="s">
        <v>285</v>
      </c>
      <c r="B89" s="194" t="s">
        <v>100</v>
      </c>
      <c r="C89" s="44"/>
      <c r="D89" s="148"/>
      <c r="E89" s="214"/>
      <c r="F89" s="7"/>
    </row>
    <row r="90" spans="1:6" s="68" customFormat="1">
      <c r="A90" s="195" t="s">
        <v>286</v>
      </c>
      <c r="B90" s="196" t="s">
        <v>125</v>
      </c>
      <c r="C90" s="44" t="s">
        <v>9</v>
      </c>
      <c r="D90" s="148">
        <v>1444.8772800000002</v>
      </c>
      <c r="E90" s="214"/>
      <c r="F90" s="7">
        <f>D90*E90</f>
        <v>0</v>
      </c>
    </row>
    <row r="91" spans="1:6" s="68" customFormat="1">
      <c r="A91" s="195" t="s">
        <v>287</v>
      </c>
      <c r="B91" s="196" t="s">
        <v>105</v>
      </c>
      <c r="C91" s="44" t="s">
        <v>9</v>
      </c>
      <c r="D91" s="197">
        <v>649.98</v>
      </c>
      <c r="E91" s="214"/>
      <c r="F91" s="7">
        <f>D91*E91</f>
        <v>0</v>
      </c>
    </row>
    <row r="92" spans="1:6" s="68" customFormat="1">
      <c r="A92" s="195" t="s">
        <v>288</v>
      </c>
      <c r="B92" s="194" t="s">
        <v>101</v>
      </c>
      <c r="C92" s="44"/>
      <c r="D92" s="148"/>
      <c r="E92" s="214"/>
      <c r="F92" s="7"/>
    </row>
    <row r="93" spans="1:6" s="68" customFormat="1">
      <c r="A93" s="195" t="s">
        <v>289</v>
      </c>
      <c r="B93" s="196" t="s">
        <v>256</v>
      </c>
      <c r="C93" s="44" t="s">
        <v>9</v>
      </c>
      <c r="D93" s="148">
        <v>164.52972</v>
      </c>
      <c r="E93" s="214"/>
      <c r="F93" s="7">
        <f>D93*E93</f>
        <v>0</v>
      </c>
    </row>
    <row r="94" spans="1:6" s="68" customFormat="1">
      <c r="A94" s="195" t="s">
        <v>290</v>
      </c>
      <c r="B94" s="196" t="s">
        <v>255</v>
      </c>
      <c r="C94" s="44" t="s">
        <v>9</v>
      </c>
      <c r="D94" s="148">
        <v>93.964500000000001</v>
      </c>
      <c r="E94" s="214"/>
      <c r="F94" s="7">
        <f>D94*E94</f>
        <v>0</v>
      </c>
    </row>
    <row r="95" spans="1:6" s="68" customFormat="1">
      <c r="A95" s="195"/>
      <c r="B95" s="196"/>
      <c r="C95" s="44"/>
      <c r="D95" s="148"/>
      <c r="E95" s="214"/>
      <c r="F95" s="7"/>
    </row>
    <row r="96" spans="1:6" s="68" customFormat="1">
      <c r="A96" s="193">
        <v>7.2</v>
      </c>
      <c r="B96" s="194" t="s">
        <v>213</v>
      </c>
      <c r="C96" s="44"/>
      <c r="D96" s="148"/>
      <c r="E96" s="214"/>
      <c r="F96" s="7"/>
    </row>
    <row r="97" spans="1:6" s="68" customFormat="1">
      <c r="A97" s="195" t="s">
        <v>107</v>
      </c>
      <c r="B97" s="196" t="s">
        <v>257</v>
      </c>
      <c r="C97" s="44" t="s">
        <v>9</v>
      </c>
      <c r="D97" s="148">
        <v>1160.5439999999999</v>
      </c>
      <c r="E97" s="214"/>
      <c r="F97" s="7">
        <f t="shared" ref="F97" si="6">E97*D97</f>
        <v>0</v>
      </c>
    </row>
    <row r="98" spans="1:6" s="68" customFormat="1">
      <c r="A98" s="195" t="s">
        <v>108</v>
      </c>
      <c r="B98" s="196" t="s">
        <v>106</v>
      </c>
      <c r="C98" s="44" t="s">
        <v>9</v>
      </c>
      <c r="D98" s="148">
        <v>270.1028</v>
      </c>
      <c r="E98" s="214"/>
      <c r="F98" s="7">
        <f>D98*E98</f>
        <v>0</v>
      </c>
    </row>
    <row r="99" spans="1:6" s="68" customFormat="1">
      <c r="A99" s="195"/>
      <c r="B99" s="196"/>
      <c r="C99" s="44"/>
      <c r="D99" s="148"/>
      <c r="E99" s="214"/>
      <c r="F99" s="7"/>
    </row>
    <row r="100" spans="1:6" s="67" customFormat="1">
      <c r="A100" s="193">
        <v>7.3</v>
      </c>
      <c r="B100" s="194" t="s">
        <v>103</v>
      </c>
      <c r="C100" s="198"/>
      <c r="D100" s="199"/>
      <c r="E100" s="225"/>
      <c r="F100" s="200"/>
    </row>
    <row r="101" spans="1:6" s="68" customFormat="1" ht="76.5">
      <c r="A101" s="195" t="s">
        <v>148</v>
      </c>
      <c r="B101" s="196" t="s">
        <v>149</v>
      </c>
      <c r="C101" s="44" t="s">
        <v>102</v>
      </c>
      <c r="D101" s="148">
        <v>36</v>
      </c>
      <c r="E101" s="214"/>
      <c r="F101" s="7">
        <f t="shared" ref="F101" si="7">E101*D101</f>
        <v>0</v>
      </c>
    </row>
    <row r="102" spans="1:6" s="67" customFormat="1" ht="15.75" thickBot="1">
      <c r="A102" s="139"/>
      <c r="B102" s="143" t="s">
        <v>104</v>
      </c>
      <c r="C102" s="146"/>
      <c r="D102" s="149"/>
      <c r="E102" s="226"/>
      <c r="F102" s="149">
        <f>SUM(F85:F101)</f>
        <v>0</v>
      </c>
    </row>
    <row r="103" spans="1:6" ht="17.25">
      <c r="A103" s="164"/>
      <c r="B103" s="165"/>
      <c r="C103" s="166"/>
      <c r="D103" s="80"/>
      <c r="E103" s="227"/>
      <c r="F103" s="167"/>
    </row>
    <row r="104" spans="1:6" s="32" customFormat="1">
      <c r="A104" s="86" t="s">
        <v>150</v>
      </c>
      <c r="B104" s="28" t="s">
        <v>29</v>
      </c>
      <c r="C104" s="29"/>
      <c r="D104" s="30"/>
      <c r="E104" s="212"/>
      <c r="F104" s="31"/>
    </row>
    <row r="105" spans="1:6" s="32" customFormat="1">
      <c r="A105" s="87" t="s">
        <v>151</v>
      </c>
      <c r="B105" s="28" t="s">
        <v>30</v>
      </c>
      <c r="C105" s="29"/>
      <c r="D105" s="30"/>
      <c r="E105" s="212"/>
      <c r="F105" s="31"/>
    </row>
    <row r="106" spans="1:6" ht="75">
      <c r="A106" s="2"/>
      <c r="B106" s="46" t="s">
        <v>31</v>
      </c>
      <c r="C106" s="60"/>
      <c r="D106" s="21"/>
      <c r="E106" s="214"/>
      <c r="F106" s="7"/>
    </row>
    <row r="107" spans="1:6" ht="108.75" customHeight="1">
      <c r="A107" s="99" t="s">
        <v>152</v>
      </c>
      <c r="B107" s="94" t="s">
        <v>216</v>
      </c>
      <c r="C107" s="60" t="s">
        <v>66</v>
      </c>
      <c r="D107" s="37">
        <v>90.6</v>
      </c>
      <c r="E107" s="214"/>
      <c r="F107" s="7">
        <f>D107*E107</f>
        <v>0</v>
      </c>
    </row>
    <row r="108" spans="1:6" ht="135.75" customHeight="1">
      <c r="A108" s="99" t="s">
        <v>153</v>
      </c>
      <c r="B108" s="46" t="s">
        <v>215</v>
      </c>
      <c r="C108" s="60" t="s">
        <v>66</v>
      </c>
      <c r="D108" s="37">
        <v>90.6</v>
      </c>
      <c r="E108" s="214"/>
      <c r="F108" s="7">
        <f>D108*E108</f>
        <v>0</v>
      </c>
    </row>
    <row r="109" spans="1:6" ht="150">
      <c r="A109" s="99" t="s">
        <v>154</v>
      </c>
      <c r="B109" s="46" t="s">
        <v>94</v>
      </c>
      <c r="C109" s="60" t="s">
        <v>66</v>
      </c>
      <c r="D109" s="37">
        <v>25.64</v>
      </c>
      <c r="E109" s="214"/>
      <c r="F109" s="7">
        <f>D109*E109</f>
        <v>0</v>
      </c>
    </row>
    <row r="110" spans="1:6">
      <c r="A110" s="2"/>
      <c r="B110" s="46"/>
      <c r="C110" s="60"/>
      <c r="D110" s="37"/>
      <c r="E110" s="214"/>
      <c r="F110" s="7"/>
    </row>
    <row r="111" spans="1:6" s="32" customFormat="1">
      <c r="A111" s="87" t="s">
        <v>155</v>
      </c>
      <c r="B111" s="28" t="s">
        <v>32</v>
      </c>
      <c r="C111" s="29"/>
      <c r="D111" s="30"/>
      <c r="E111" s="212"/>
      <c r="F111" s="31"/>
    </row>
    <row r="112" spans="1:6" ht="105">
      <c r="A112" s="85" t="s">
        <v>156</v>
      </c>
      <c r="B112" s="46" t="s">
        <v>258</v>
      </c>
      <c r="C112" s="60" t="s">
        <v>66</v>
      </c>
      <c r="D112" s="21">
        <v>120</v>
      </c>
      <c r="E112" s="220"/>
      <c r="F112" s="7">
        <f t="shared" ref="F112:F113" si="8">D112*E112</f>
        <v>0</v>
      </c>
    </row>
    <row r="113" spans="1:6" ht="93.75" customHeight="1">
      <c r="A113" s="85" t="s">
        <v>270</v>
      </c>
      <c r="B113" s="46" t="s">
        <v>252</v>
      </c>
      <c r="C113" s="60" t="s">
        <v>27</v>
      </c>
      <c r="D113" s="21">
        <v>92.7</v>
      </c>
      <c r="E113" s="220"/>
      <c r="F113" s="7">
        <f t="shared" si="8"/>
        <v>0</v>
      </c>
    </row>
    <row r="114" spans="1:6" s="75" customFormat="1" ht="11.25">
      <c r="A114" s="70"/>
      <c r="B114" s="71"/>
      <c r="C114" s="72"/>
      <c r="D114" s="73"/>
      <c r="E114" s="228"/>
      <c r="F114" s="74"/>
    </row>
    <row r="115" spans="1:6" s="32" customFormat="1" ht="15.75" thickBot="1">
      <c r="A115" s="89" t="s">
        <v>150</v>
      </c>
      <c r="B115" s="40" t="s">
        <v>33</v>
      </c>
      <c r="C115" s="41"/>
      <c r="D115" s="42"/>
      <c r="E115" s="219"/>
      <c r="F115" s="43">
        <f>SUM(F106:F114)</f>
        <v>0</v>
      </c>
    </row>
    <row r="116" spans="1:6" s="32" customFormat="1" ht="15.75" thickTop="1">
      <c r="A116" s="93"/>
      <c r="B116" s="132"/>
      <c r="C116" s="133"/>
      <c r="D116" s="134"/>
      <c r="E116" s="229"/>
      <c r="F116" s="135"/>
    </row>
    <row r="117" spans="1:6" ht="17.25">
      <c r="A117" s="4"/>
      <c r="B117" s="81"/>
      <c r="C117" s="44"/>
      <c r="D117" s="21"/>
      <c r="E117" s="214"/>
      <c r="F117" s="48"/>
    </row>
    <row r="118" spans="1:6" s="32" customFormat="1">
      <c r="A118" s="86" t="s">
        <v>157</v>
      </c>
      <c r="B118" s="28" t="s">
        <v>34</v>
      </c>
      <c r="C118" s="29"/>
      <c r="D118" s="30"/>
      <c r="E118" s="212"/>
      <c r="F118" s="31"/>
    </row>
    <row r="119" spans="1:6">
      <c r="A119" s="4"/>
      <c r="B119" s="46"/>
      <c r="C119" s="60"/>
      <c r="D119" s="21"/>
      <c r="E119" s="214"/>
      <c r="F119" s="7"/>
    </row>
    <row r="120" spans="1:6" ht="45">
      <c r="A120" s="88" t="s">
        <v>158</v>
      </c>
      <c r="B120" s="46" t="s">
        <v>65</v>
      </c>
      <c r="C120" s="60"/>
      <c r="D120" s="21"/>
      <c r="E120" s="214"/>
      <c r="F120" s="7"/>
    </row>
    <row r="121" spans="1:6" ht="30">
      <c r="A121" s="85" t="s">
        <v>159</v>
      </c>
      <c r="B121" s="46" t="s">
        <v>260</v>
      </c>
      <c r="C121" s="60" t="s">
        <v>66</v>
      </c>
      <c r="D121" s="21">
        <v>798.48500000000001</v>
      </c>
      <c r="E121" s="214"/>
      <c r="F121" s="7">
        <f>E121*D121</f>
        <v>0</v>
      </c>
    </row>
    <row r="122" spans="1:6" ht="30">
      <c r="A122" s="85" t="s">
        <v>160</v>
      </c>
      <c r="B122" s="46" t="s">
        <v>161</v>
      </c>
      <c r="C122" s="60" t="s">
        <v>66</v>
      </c>
      <c r="D122" s="21">
        <v>194.245</v>
      </c>
      <c r="E122" s="214"/>
      <c r="F122" s="7">
        <f>E122*D122</f>
        <v>0</v>
      </c>
    </row>
    <row r="123" spans="1:6">
      <c r="A123" s="4"/>
      <c r="B123" s="46"/>
      <c r="C123" s="60"/>
      <c r="D123" s="21"/>
      <c r="E123" s="214"/>
      <c r="F123" s="7"/>
    </row>
    <row r="124" spans="1:6" s="32" customFormat="1" ht="15.75" thickBot="1">
      <c r="A124" s="159" t="s">
        <v>157</v>
      </c>
      <c r="B124" s="160" t="s">
        <v>35</v>
      </c>
      <c r="C124" s="161"/>
      <c r="D124" s="162"/>
      <c r="E124" s="216"/>
      <c r="F124" s="163">
        <f>SUM(F120:F123)</f>
        <v>0</v>
      </c>
    </row>
    <row r="125" spans="1:6" ht="15.75">
      <c r="A125" s="168">
        <v>10</v>
      </c>
      <c r="B125" s="174" t="s">
        <v>109</v>
      </c>
      <c r="C125" s="178"/>
      <c r="D125" s="181"/>
      <c r="E125" s="230"/>
      <c r="F125" s="187"/>
    </row>
    <row r="126" spans="1:6" s="96" customFormat="1">
      <c r="A126" s="169"/>
      <c r="B126" s="175"/>
      <c r="C126" s="179"/>
      <c r="D126" s="182"/>
      <c r="E126" s="231"/>
      <c r="F126" s="184"/>
    </row>
    <row r="127" spans="1:6" s="96" customFormat="1">
      <c r="A127" s="170">
        <v>10.1</v>
      </c>
      <c r="B127" s="176" t="s">
        <v>162</v>
      </c>
      <c r="C127" s="179"/>
      <c r="D127" s="183"/>
      <c r="E127" s="232"/>
      <c r="F127" s="185"/>
    </row>
    <row r="128" spans="1:6" s="96" customFormat="1" ht="62.25">
      <c r="A128" s="171" t="s">
        <v>264</v>
      </c>
      <c r="B128" s="177" t="s">
        <v>111</v>
      </c>
      <c r="C128" s="179" t="s">
        <v>26</v>
      </c>
      <c r="D128" s="201">
        <v>10</v>
      </c>
      <c r="E128" s="233"/>
      <c r="F128" s="186">
        <f>D128*E128</f>
        <v>0</v>
      </c>
    </row>
    <row r="129" spans="1:6" s="96" customFormat="1">
      <c r="A129" s="172"/>
      <c r="B129" s="177"/>
      <c r="C129" s="179"/>
      <c r="D129" s="201"/>
      <c r="E129" s="233"/>
      <c r="F129" s="186"/>
    </row>
    <row r="130" spans="1:6" s="96" customFormat="1">
      <c r="A130" s="173">
        <v>10.199999999999999</v>
      </c>
      <c r="B130" s="176" t="s">
        <v>253</v>
      </c>
      <c r="C130" s="179"/>
      <c r="D130" s="201"/>
      <c r="E130" s="232"/>
      <c r="F130" s="185" t="s">
        <v>110</v>
      </c>
    </row>
    <row r="131" spans="1:6" s="96" customFormat="1">
      <c r="A131" s="171" t="s">
        <v>265</v>
      </c>
      <c r="B131" s="177" t="s">
        <v>112</v>
      </c>
      <c r="C131" s="179" t="s">
        <v>26</v>
      </c>
      <c r="D131" s="180">
        <v>5</v>
      </c>
      <c r="E131" s="232"/>
      <c r="F131" s="185">
        <f>D131*E131</f>
        <v>0</v>
      </c>
    </row>
    <row r="132" spans="1:6" s="96" customFormat="1">
      <c r="A132" s="171" t="s">
        <v>266</v>
      </c>
      <c r="B132" s="177" t="s">
        <v>113</v>
      </c>
      <c r="C132" s="179" t="s">
        <v>26</v>
      </c>
      <c r="D132" s="180">
        <v>5</v>
      </c>
      <c r="E132" s="232"/>
      <c r="F132" s="186">
        <f>D132*E132</f>
        <v>0</v>
      </c>
    </row>
    <row r="133" spans="1:6" s="96" customFormat="1">
      <c r="A133" s="172"/>
      <c r="B133" s="177"/>
      <c r="C133" s="179"/>
      <c r="D133" s="180"/>
      <c r="E133" s="232"/>
      <c r="F133" s="185"/>
    </row>
    <row r="134" spans="1:6" s="96" customFormat="1">
      <c r="A134" s="173">
        <v>10.3</v>
      </c>
      <c r="B134" s="176" t="s">
        <v>163</v>
      </c>
      <c r="C134" s="179"/>
      <c r="D134" s="201"/>
      <c r="E134" s="232"/>
      <c r="F134" s="185"/>
    </row>
    <row r="135" spans="1:6" s="96" customFormat="1" ht="47.25">
      <c r="A135" s="171" t="s">
        <v>267</v>
      </c>
      <c r="B135" s="177" t="s">
        <v>116</v>
      </c>
      <c r="C135" s="179" t="s">
        <v>26</v>
      </c>
      <c r="D135" s="201">
        <v>15</v>
      </c>
      <c r="E135" s="233"/>
      <c r="F135" s="185">
        <f>D135*E135</f>
        <v>0</v>
      </c>
    </row>
    <row r="136" spans="1:6" s="96" customFormat="1">
      <c r="A136" s="172"/>
      <c r="B136" s="177"/>
      <c r="C136" s="179"/>
      <c r="D136" s="201"/>
      <c r="E136" s="233"/>
      <c r="F136" s="185"/>
    </row>
    <row r="137" spans="1:6" s="96" customFormat="1">
      <c r="A137" s="173">
        <v>10.4</v>
      </c>
      <c r="B137" s="176" t="s">
        <v>164</v>
      </c>
      <c r="C137" s="179"/>
      <c r="D137" s="201"/>
      <c r="E137" s="233"/>
      <c r="F137" s="185"/>
    </row>
    <row r="138" spans="1:6" s="96" customFormat="1">
      <c r="A138" s="171" t="s">
        <v>268</v>
      </c>
      <c r="B138" s="177" t="s">
        <v>117</v>
      </c>
      <c r="C138" s="179" t="s">
        <v>26</v>
      </c>
      <c r="D138" s="201">
        <v>15</v>
      </c>
      <c r="E138" s="233"/>
      <c r="F138" s="185">
        <f>D138*E138</f>
        <v>0</v>
      </c>
    </row>
    <row r="139" spans="1:6" s="96" customFormat="1">
      <c r="A139" s="172"/>
      <c r="B139" s="177"/>
      <c r="C139" s="179"/>
      <c r="D139" s="201"/>
      <c r="E139" s="233"/>
      <c r="F139" s="185"/>
    </row>
    <row r="140" spans="1:6" s="96" customFormat="1">
      <c r="A140" s="173">
        <v>10.5</v>
      </c>
      <c r="B140" s="176" t="s">
        <v>165</v>
      </c>
      <c r="C140" s="179"/>
      <c r="D140" s="201"/>
      <c r="E140" s="232"/>
      <c r="F140" s="185"/>
    </row>
    <row r="141" spans="1:6" s="96" customFormat="1" ht="45">
      <c r="A141" s="172"/>
      <c r="B141" s="177" t="s">
        <v>217</v>
      </c>
      <c r="C141" s="180"/>
      <c r="D141" s="202"/>
      <c r="E141" s="234"/>
      <c r="F141" s="185"/>
    </row>
    <row r="142" spans="1:6" s="96" customFormat="1" ht="22.5" customHeight="1">
      <c r="A142" s="171" t="s">
        <v>269</v>
      </c>
      <c r="B142" s="177" t="s">
        <v>218</v>
      </c>
      <c r="C142" s="179" t="s">
        <v>114</v>
      </c>
      <c r="D142" s="201">
        <v>10</v>
      </c>
      <c r="E142" s="233"/>
      <c r="F142" s="186">
        <f t="shared" ref="F142" si="9">D142*E142</f>
        <v>0</v>
      </c>
    </row>
    <row r="143" spans="1:6" s="96" customFormat="1" ht="15.75" thickBot="1">
      <c r="A143" s="192"/>
      <c r="B143" s="191" t="s">
        <v>115</v>
      </c>
      <c r="C143" s="190"/>
      <c r="D143" s="189"/>
      <c r="E143" s="235"/>
      <c r="F143" s="188">
        <f>SUM(F127:F142)</f>
        <v>0</v>
      </c>
    </row>
    <row r="144" spans="1:6" ht="15.75">
      <c r="A144" s="168">
        <v>11</v>
      </c>
      <c r="B144" s="174" t="s">
        <v>299</v>
      </c>
      <c r="C144" s="178"/>
      <c r="D144" s="181"/>
      <c r="E144" s="230"/>
      <c r="F144" s="187"/>
    </row>
    <row r="145" spans="1:6" s="96" customFormat="1">
      <c r="A145" s="169"/>
      <c r="B145" s="175"/>
      <c r="C145" s="179"/>
      <c r="D145" s="182"/>
      <c r="E145" s="231"/>
      <c r="F145" s="184"/>
    </row>
    <row r="146" spans="1:6" s="96" customFormat="1">
      <c r="A146" s="170">
        <v>11.1</v>
      </c>
      <c r="B146" s="176" t="s">
        <v>302</v>
      </c>
      <c r="C146" s="179"/>
      <c r="D146" s="183"/>
      <c r="E146" s="232"/>
      <c r="F146" s="185"/>
    </row>
    <row r="147" spans="1:6" s="96" customFormat="1" ht="60">
      <c r="A147" s="171" t="s">
        <v>301</v>
      </c>
      <c r="B147" s="177" t="s">
        <v>304</v>
      </c>
      <c r="C147" s="179" t="s">
        <v>303</v>
      </c>
      <c r="D147" s="201">
        <v>1</v>
      </c>
      <c r="E147" s="233"/>
      <c r="F147" s="186">
        <f>D147*E147</f>
        <v>0</v>
      </c>
    </row>
    <row r="148" spans="1:6" s="96" customFormat="1" ht="15.75" thickBot="1">
      <c r="A148" s="192"/>
      <c r="B148" s="191" t="s">
        <v>115</v>
      </c>
      <c r="C148" s="190"/>
      <c r="D148" s="189"/>
      <c r="E148" s="235"/>
      <c r="F148" s="188">
        <f>SUM(F146:F147)</f>
        <v>0</v>
      </c>
    </row>
    <row r="149" spans="1:6" s="61" customFormat="1">
      <c r="A149" s="24"/>
      <c r="B149" s="18"/>
      <c r="C149" s="63"/>
      <c r="D149" s="19"/>
      <c r="E149" s="236"/>
    </row>
  </sheetData>
  <sheetProtection algorithmName="SHA-512" hashValue="5YbgECZ0qZHWLWSJ+jH90wO3Z+X+/yJdm4718pB4lVE+7r/b9UbCeCzJSoHGW5SVyhKwBv3wxnt7GFGUyJrmxQ==" saltValue="z3FDlEXNU8uq2AVFSAvBDA==" spinCount="100000" sheet="1" objects="1" scenarios="1"/>
  <phoneticPr fontId="17" type="noConversion"/>
  <pageMargins left="0.7" right="0.7" top="0.75" bottom="0.75" header="0.3" footer="0.3"/>
  <pageSetup scale="76" fitToHeight="0" orientation="portrait" r:id="rId1"/>
  <headerFooter>
    <oddHeader>&amp;L&amp;"Calibri,Regular"&amp;K000000WOLISSO ER and OPD BLOCKS</oddHeader>
    <oddFooter>&amp;CPage &amp;P / &amp;N</oddFooter>
  </headerFooter>
  <rowBreaks count="6" manualBreakCount="6">
    <brk id="17" max="5" man="1"/>
    <brk id="39" max="5" man="1"/>
    <brk id="59" max="5" man="1"/>
    <brk id="83" max="5" man="1"/>
    <brk id="102" max="5" man="1"/>
    <brk id="127"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63"/>
  <sheetViews>
    <sheetView workbookViewId="0">
      <pane ySplit="1" topLeftCell="A2" activePane="bottomLeft" state="frozen"/>
      <selection pane="bottomLeft" activeCell="E2" sqref="E2"/>
    </sheetView>
  </sheetViews>
  <sheetFormatPr defaultColWidth="8.7109375" defaultRowHeight="15"/>
  <sheetData>
    <row r="1" spans="1:8">
      <c r="B1">
        <v>8</v>
      </c>
      <c r="C1">
        <v>10</v>
      </c>
      <c r="D1">
        <v>12</v>
      </c>
      <c r="E1">
        <v>14</v>
      </c>
      <c r="F1">
        <v>16</v>
      </c>
      <c r="G1">
        <v>20</v>
      </c>
      <c r="H1">
        <v>24</v>
      </c>
    </row>
    <row r="2" spans="1:8">
      <c r="A2" t="s">
        <v>36</v>
      </c>
      <c r="B2">
        <f>1.5*(5.058/0.13+1+5.04/0.13+1+4.7/0.13+1+6.04/0.13+1)</f>
        <v>246.43846153846152</v>
      </c>
      <c r="E2">
        <f>2*9+2*5.8+2*9+2.4+3.6+3.5+3.6+2.5+2*11.3+2*11.2+4.2+3.8+3.6+4.3</f>
        <v>124.10000000000001</v>
      </c>
    </row>
    <row r="3" spans="1:8">
      <c r="A3" t="s">
        <v>37</v>
      </c>
      <c r="B3">
        <f>1.5*(1194/130+1+3657/130+1+5190/130+1)</f>
        <v>120.3576923076923</v>
      </c>
      <c r="E3">
        <f>2*4.9+2*9+3.8+3.6+2.5+2*7+2*6.2+3.6+4.4</f>
        <v>72.100000000000009</v>
      </c>
    </row>
    <row r="4" spans="1:8">
      <c r="B4">
        <f>1.5*(4.45+6.3+5.6+5+2.8)/0.13</f>
        <v>278.65384615384613</v>
      </c>
      <c r="E4">
        <f>2*(8.4+5.55+11.5+2.2+11.2+6.2+8.4)+3.6+4+3.6+5.08+4.5+4+3.5</f>
        <v>135.17999999999998</v>
      </c>
    </row>
    <row r="5" spans="1:8">
      <c r="A5" t="s">
        <v>38</v>
      </c>
      <c r="B5">
        <f>1.5*(5.4/0.13+1)</f>
        <v>63.807692307692307</v>
      </c>
      <c r="E5">
        <f>2*(7.4+6.7)</f>
        <v>28.200000000000003</v>
      </c>
    </row>
    <row r="6" spans="1:8">
      <c r="A6" t="s">
        <v>39</v>
      </c>
      <c r="B6">
        <f>1.5*(5.35+5.8)/0.13</f>
        <v>128.65384615384613</v>
      </c>
      <c r="E6">
        <f>2*9.3+2*3.7+2.7+3.8+2.5+12*2+4.2+4.6</f>
        <v>67.8</v>
      </c>
    </row>
    <row r="7" spans="1:8">
      <c r="A7" t="s">
        <v>40</v>
      </c>
      <c r="B7">
        <f>1.5*(5.3+5.8)/0.13</f>
        <v>128.07692307692307</v>
      </c>
      <c r="E7">
        <f>2*(9.5+3.8+12)+2.7+3.8+2.5+4.2+4.6</f>
        <v>68.400000000000006</v>
      </c>
    </row>
    <row r="8" spans="1:8">
      <c r="A8" t="s">
        <v>41</v>
      </c>
      <c r="B8">
        <f>1.5*(5.3+5.8)/0.13</f>
        <v>128.07692307692307</v>
      </c>
      <c r="E8">
        <f>2*(9.5+3.8+12+12)+2.7+3.8+2.5</f>
        <v>83.6</v>
      </c>
    </row>
    <row r="9" spans="1:8">
      <c r="A9" t="s">
        <v>42</v>
      </c>
      <c r="B9">
        <f>1.5*(6200+5350+5850)/130</f>
        <v>200.76923076923077</v>
      </c>
      <c r="E9">
        <f>2*(4+12+4+2.8+6.8+6+6.6)+3.9+3.8+2.8</f>
        <v>94.9</v>
      </c>
    </row>
    <row r="10" spans="1:8">
      <c r="A10" t="s">
        <v>43</v>
      </c>
      <c r="B10">
        <f>1.5*(6.2+4.4)/0.13</f>
        <v>122.30769230769232</v>
      </c>
      <c r="E10">
        <f>2*(4.3+8.3+11.3)+3+3.6+1.5</f>
        <v>55.900000000000006</v>
      </c>
    </row>
    <row r="11" spans="1:8">
      <c r="B11">
        <f>1.5*(3.4/0.13)</f>
        <v>39.230769230769226</v>
      </c>
      <c r="E11">
        <f>2*(5.8+5.1)+1.45+2.6</f>
        <v>25.849999999999998</v>
      </c>
    </row>
    <row r="12" spans="1:8">
      <c r="A12" t="s">
        <v>44</v>
      </c>
      <c r="B12">
        <f>1.5*(5+5)/0.13</f>
        <v>115.38461538461539</v>
      </c>
      <c r="E12">
        <f>2*(9.5+4.4+6.2+7)+2.7+3.8+3</f>
        <v>63.7</v>
      </c>
    </row>
    <row r="13" spans="1:8">
      <c r="A13" t="s">
        <v>45</v>
      </c>
      <c r="B13">
        <f>1.5*(5.3+4.5+4.7)/0.13</f>
        <v>167.30769230769229</v>
      </c>
      <c r="F13">
        <f>2*12+7+3.8+6+4.6+4.6+3.8</f>
        <v>53.8</v>
      </c>
      <c r="G13">
        <f>4*4.4+4*4.4+2*3+4*3+5*7+5*7</f>
        <v>123.2</v>
      </c>
    </row>
    <row r="14" spans="1:8">
      <c r="A14" t="s">
        <v>46</v>
      </c>
      <c r="B14">
        <f>1.5*(1.9+6.3+5.6)/0.13</f>
        <v>159.23076923076923</v>
      </c>
      <c r="E14">
        <f>2*(8.5+6)+4.4</f>
        <v>33.4</v>
      </c>
      <c r="F14">
        <f>2*(6.4+8.9)+4.5+4+2.5</f>
        <v>41.6</v>
      </c>
    </row>
    <row r="15" spans="1:8">
      <c r="B15">
        <f>1.5*(5/0.13)</f>
        <v>57.692307692307693</v>
      </c>
      <c r="E15">
        <f>2*6.1+2.3+2.2+5.4*2+4.2</f>
        <v>31.7</v>
      </c>
    </row>
    <row r="16" spans="1:8">
      <c r="B16">
        <f>1.5*(2.8+2.5+5.4)/0.13</f>
        <v>123.46153846153844</v>
      </c>
      <c r="F16">
        <f>2*11.2+4.2</f>
        <v>26.599999999999998</v>
      </c>
      <c r="G16">
        <f>2*12+7.8+2.4</f>
        <v>34.200000000000003</v>
      </c>
    </row>
    <row r="17" spans="1:7">
      <c r="A17" t="s">
        <v>47</v>
      </c>
      <c r="B17">
        <f>1.5*(6.7+6.3+5.5+5)/0.13</f>
        <v>271.15384615384613</v>
      </c>
      <c r="E17">
        <f>2*(7.3+6.6+6+5.4)+5.2+4.5+4+3.85</f>
        <v>68.149999999999991</v>
      </c>
      <c r="F17">
        <f>2*(10.8+6.3+8.6+3)+4.4+4+3.5+2.3</f>
        <v>71.600000000000009</v>
      </c>
    </row>
    <row r="18" spans="1:7">
      <c r="A18" t="s">
        <v>37</v>
      </c>
      <c r="B18">
        <f>1.5*(7+6.3+5.6+5+2.8)/0.13</f>
        <v>308.07692307692304</v>
      </c>
      <c r="F18">
        <f>2*(7.8+5.6+7+8.2)+4.5+4.8+4</f>
        <v>70.5</v>
      </c>
      <c r="G18">
        <f>2*(10.7+6.3+11.4)+3+4.5+4+3+5</f>
        <v>76.3</v>
      </c>
    </row>
    <row r="19" spans="1:7">
      <c r="B19">
        <f>1.5*(1.6+5+5.6)/0.13</f>
        <v>140.76923076923075</v>
      </c>
      <c r="E19">
        <f>2*(7+6)+3.6+4.4</f>
        <v>34</v>
      </c>
      <c r="F19">
        <f>2*(4.7+8.9+3.6+2.5)+3.7</f>
        <v>43.100000000000009</v>
      </c>
    </row>
    <row r="20" spans="1:7">
      <c r="A20" t="s">
        <v>48</v>
      </c>
      <c r="B20">
        <f>1.5*(5.4+5.4+5)/0.13</f>
        <v>182.30769230769232</v>
      </c>
      <c r="F20">
        <f>2*(5.8+5.7+5.3+5.9)+4.2+3.8+3.5+4.5</f>
        <v>61.400000000000006</v>
      </c>
      <c r="G20">
        <f>2*(8.9+5.5+8.8)+2.4+3.8+3.5+3.55</f>
        <v>59.65</v>
      </c>
    </row>
    <row r="21" spans="1:7">
      <c r="A21" t="s">
        <v>39</v>
      </c>
      <c r="B21">
        <f>1.5*(3.8+6.2+5.4+5.9)/0.13</f>
        <v>245.76923076923077</v>
      </c>
      <c r="F21">
        <f>2*(10+5.7+6.5)+4.4+4.4</f>
        <v>53.199999999999996</v>
      </c>
      <c r="G21">
        <f>2*(7.3+12+3.85)+6.3+4+3.8+2.6</f>
        <v>63</v>
      </c>
    </row>
    <row r="22" spans="1:7">
      <c r="A22" t="s">
        <v>40</v>
      </c>
      <c r="B22">
        <f>1.5*(6.2+6.2+5.3+5.3)/0.13</f>
        <v>265.38461538461536</v>
      </c>
      <c r="F22">
        <f>4.4+3.8+4.6</f>
        <v>12.799999999999999</v>
      </c>
      <c r="G22">
        <f>2*(9.7+11.6+3.9)+4*2.6+4.2+3.9+3.8+2.5*4+5*8.42+2*6.5+2*5.6+6.3*2</f>
        <v>161.59999999999997</v>
      </c>
    </row>
    <row r="23" spans="1:7">
      <c r="A23" t="s">
        <v>41</v>
      </c>
      <c r="B23">
        <f>1.5*(7.5+6+5+5.5)/0.13</f>
        <v>276.92307692307691</v>
      </c>
      <c r="F23">
        <f>4.4+3.8+4.4+2*(7.9+6.5+5.7+5.5)</f>
        <v>63.800000000000004</v>
      </c>
      <c r="G23">
        <f>2*(11.2+11.8+4.1+3.7+2*2.8)+4.7+3.8+3.8+2.8</f>
        <v>87.899999999999991</v>
      </c>
    </row>
    <row r="24" spans="1:7">
      <c r="A24" t="s">
        <v>44</v>
      </c>
      <c r="B24">
        <f>1.5*(5.2+5.5+2.5)/0.13</f>
        <v>152.30769230769229</v>
      </c>
      <c r="F24">
        <f>2*(6.1+6.8+3.3)+4.15+4.6</f>
        <v>41.15</v>
      </c>
      <c r="G24">
        <f>2*(10+4.4+4+2.7+2*3.1)+3.8</f>
        <v>58.399999999999991</v>
      </c>
    </row>
    <row r="25" spans="1:7">
      <c r="A25" t="s">
        <v>45</v>
      </c>
      <c r="B25">
        <f>1.5*(2+6+5+5.3+1.4)/0.13</f>
        <v>227.30769230769226</v>
      </c>
      <c r="F25">
        <f>2*(8.7+5.7+7.8)+4.1+3.8+4.4</f>
        <v>56.699999999999996</v>
      </c>
      <c r="G25">
        <f>2*(6.1+11.7+5.2+4.9+3*2)+3.9+3.8</f>
        <v>75.5</v>
      </c>
    </row>
    <row r="26" spans="1:7">
      <c r="A26" t="s">
        <v>43</v>
      </c>
      <c r="B26">
        <f>1.5*(2.4+6+4.2+4)/0.13</f>
        <v>191.53846153846155</v>
      </c>
      <c r="F26">
        <f>2*(9.1+4.9+5.1)+4.4</f>
        <v>42.6</v>
      </c>
      <c r="G26">
        <f>2*(6.5+8.3+5.2+5.8+2.6*2)+3.6</f>
        <v>65.599999999999994</v>
      </c>
    </row>
    <row r="27" spans="1:7">
      <c r="A27" t="s">
        <v>49</v>
      </c>
      <c r="B27">
        <f>1.5*(6+5+5.4)/0.13</f>
        <v>189.2307692307692</v>
      </c>
      <c r="G27">
        <f>2*(9.9+9.5+2*2.8+2*2.8)+3.8+3.8+2*(6.6+5.7+6.5)+4.9+3.8+4.6</f>
        <v>119.7</v>
      </c>
    </row>
    <row r="28" spans="1:7">
      <c r="A28" t="s">
        <v>50</v>
      </c>
      <c r="B28">
        <f>1.5*(4.5+6)/0.13</f>
        <v>121.15384615384615</v>
      </c>
      <c r="F28">
        <f>3.4+4.7</f>
        <v>8.1</v>
      </c>
      <c r="G28">
        <f>2*(8.6+4.7+2.2+3.6+2*3.5)+5*(5.2+7.4)</f>
        <v>115.20000000000002</v>
      </c>
    </row>
    <row r="29" spans="1:7">
      <c r="A29" t="s">
        <v>51</v>
      </c>
      <c r="B29">
        <f>1.5*(3+4+3+3+5.3)/0.13</f>
        <v>211.15384615384616</v>
      </c>
      <c r="F29">
        <f>2.6+2.5+2.4+3.2+2.9+4.6</f>
        <v>18.2</v>
      </c>
      <c r="G29">
        <f>4*(10.1+11.9)+5*(11.4+10)+4*(2+2.7)</f>
        <v>213.8</v>
      </c>
    </row>
    <row r="30" spans="1:7">
      <c r="A30" t="s">
        <v>52</v>
      </c>
      <c r="B30">
        <f>1.5*(3.6+5+3.5)/0.13</f>
        <v>139.61538461538461</v>
      </c>
      <c r="F30">
        <f>2*(4.2+10)+3.4</f>
        <v>31.799999999999997</v>
      </c>
      <c r="G30">
        <f>2*(7.3+7.3+1.9)+3.1+3.1</f>
        <v>39.200000000000003</v>
      </c>
    </row>
    <row r="31" spans="1:7">
      <c r="A31" s="20" t="s">
        <v>53</v>
      </c>
    </row>
    <row r="32" spans="1:7">
      <c r="A32" t="s">
        <v>46</v>
      </c>
      <c r="B32">
        <f>3*1.5*(6.5+6.1+5.5)/0.13</f>
        <v>626.53846153846155</v>
      </c>
      <c r="F32">
        <f>3*(2*(7.2+6.6+6)+5.2+4.5+4.4)</f>
        <v>161.10000000000002</v>
      </c>
      <c r="G32">
        <f>3*(2*(10.7+9.5)+3+4.4+4+4*2.5)</f>
        <v>185.39999999999998</v>
      </c>
    </row>
    <row r="33" spans="1:7">
      <c r="B33">
        <f>3*1.5*(4.2+2.5+2.3+5.2)/0.13</f>
        <v>491.53846153846149</v>
      </c>
      <c r="F33">
        <f>3*(2*(5.4+11.2)+4.2+4.2)</f>
        <v>124.80000000000003</v>
      </c>
      <c r="G33">
        <f>3*2*(6.1+2.3+2.3+12+7.8+2*2.4)</f>
        <v>211.79999999999998</v>
      </c>
    </row>
    <row r="34" spans="1:7">
      <c r="A34" t="s">
        <v>37</v>
      </c>
      <c r="B34">
        <f>3*1.5*(5.5+4.8+2.5)/0.13</f>
        <v>443.07692307692309</v>
      </c>
      <c r="G34">
        <f>3*(4*8.9+2*6.1+4*2.5+2*3.8+4*5.1+2*6.1+2*6.2+4.4+3.9)</f>
        <v>356.1</v>
      </c>
    </row>
    <row r="35" spans="1:7">
      <c r="B35">
        <f>3*1.5*(1.6+4.8+5.4)/0.13</f>
        <v>408.46153846153845</v>
      </c>
      <c r="F35">
        <f>3*(2*(6.9+6)+3.7+4.4)</f>
        <v>101.69999999999999</v>
      </c>
      <c r="G35">
        <f>3*(2*(4.9+8.9+3.8+3.8)+2.5)</f>
        <v>135.9</v>
      </c>
    </row>
    <row r="36" spans="1:7">
      <c r="A36" t="s">
        <v>48</v>
      </c>
      <c r="B36">
        <f>3*1.5*(5.2+4.8+5+5+4.8+5.4)/0.13</f>
        <v>1045.3846153846155</v>
      </c>
      <c r="G36">
        <f>3*(2*(8.9+5.5+10.9+8.9+2.5+6+3.6+3.5+10.7+5.7+8.9+2*2.5+11)+3.6+3.5+3.6+4.4+3.6+3.8+3.8+3.6+4.4)</f>
        <v>649.50000000000011</v>
      </c>
    </row>
    <row r="37" spans="1:7">
      <c r="A37" t="s">
        <v>40</v>
      </c>
      <c r="B37">
        <f>3*1.5*(6+6+5+5.5)/0.13</f>
        <v>778.84615384615381</v>
      </c>
      <c r="F37">
        <f>3*(2*(6.5+6.5+5.7+6.3)+4.4+3.8+4.4)</f>
        <v>187.79999999999998</v>
      </c>
      <c r="G37">
        <f>3*(2*(9.8+11.7+3.9+2.6+2.6)+4.2+3.9+3.8)</f>
        <v>219.3</v>
      </c>
    </row>
    <row r="38" spans="1:7">
      <c r="A38" t="s">
        <v>47</v>
      </c>
      <c r="B38">
        <f>3*1.5*(6.5+6+5.2+4.8+5+5)/0.13</f>
        <v>1125</v>
      </c>
      <c r="F38">
        <f>3*(2*(7.3+6.6+10.9+11.2)+4.2+3.8+3.5+4+4.5+5.2)</f>
        <v>291.60000000000002</v>
      </c>
      <c r="G38">
        <f>3*(2*(10.8+8.3+10.9+8.9+3+4+2*2.4)+3.6+3.5+3.6+4.4)</f>
        <v>349.49999999999994</v>
      </c>
    </row>
    <row r="39" spans="1:7">
      <c r="A39" t="s">
        <v>41</v>
      </c>
      <c r="B39">
        <f>3*1.5*(7.4+6+5+5)/0.13</f>
        <v>810</v>
      </c>
      <c r="F39">
        <f>3*(2*(7.9)+6.5+2*5.7+2*8.5+4.5+3.8+4.4)</f>
        <v>190.2</v>
      </c>
      <c r="G39">
        <f>3*(2*(2*11.2+11.7+4.1+3.9+2.8)+4.7+3.9+3.8)</f>
        <v>306.59999999999997</v>
      </c>
    </row>
    <row r="40" spans="1:7">
      <c r="A40" t="s">
        <v>45</v>
      </c>
      <c r="B40">
        <f>3*1.5*(2+6+5+5.5+1.2)/0.13</f>
        <v>681.92307692307679</v>
      </c>
      <c r="F40">
        <f>3*(2*(8.9+5.7+7.9)+4.9+3.8+4.6)</f>
        <v>174.89999999999998</v>
      </c>
      <c r="G40">
        <f>3*(2*(6+11.7+5.2+4.9+2*3.1)+3.9+3.8)</f>
        <v>227.10000000000002</v>
      </c>
    </row>
    <row r="41" spans="1:7">
      <c r="A41" t="s">
        <v>49</v>
      </c>
      <c r="B41">
        <f>3*1.5*(6+5+5.5)/0.13</f>
        <v>571.15384615384619</v>
      </c>
      <c r="F41">
        <f>3*((2*6.7+5.9+6.5)+4.9+3.8+4.6)</f>
        <v>117.30000000000001</v>
      </c>
      <c r="G41">
        <f>3*(2*(9.7+4.1+2.8+2.8)+3.9+3.8)</f>
        <v>139.49999999999997</v>
      </c>
    </row>
    <row r="42" spans="1:7">
      <c r="A42" t="s">
        <v>44</v>
      </c>
      <c r="B42">
        <f>3*1.5*(5+5.5)/0.13</f>
        <v>363.46153846153845</v>
      </c>
      <c r="E42">
        <f>3*(2*(6.2+7)+4.2+4.6)</f>
        <v>105.6</v>
      </c>
      <c r="F42">
        <f>3*((2*9.5+4.2+2*2.7)+3.8+3.1)</f>
        <v>106.5</v>
      </c>
    </row>
    <row r="43" spans="1:7">
      <c r="A43" t="s">
        <v>54</v>
      </c>
      <c r="B43">
        <f>6*(8/0.13)</f>
        <v>369.23076923076917</v>
      </c>
      <c r="F43">
        <f>6*(2*9.1+6.9)</f>
        <v>150.60000000000002</v>
      </c>
      <c r="G43">
        <f>6*(2*(9.8+3.5+2*3.7))</f>
        <v>248.40000000000003</v>
      </c>
    </row>
    <row r="44" spans="1:7">
      <c r="B44">
        <f>6*1.5*(3.5/0.13)</f>
        <v>242.30769230769232</v>
      </c>
      <c r="F44">
        <f>6*(2*5.1)</f>
        <v>61.199999999999996</v>
      </c>
      <c r="G44">
        <f>6*(2*(5.8+2*1.9+2*2.6))</f>
        <v>177.60000000000002</v>
      </c>
    </row>
    <row r="45" spans="1:7">
      <c r="A45" t="s">
        <v>44</v>
      </c>
      <c r="B45">
        <f>3*1.5*(4/0.13)</f>
        <v>138.46153846153845</v>
      </c>
      <c r="F45">
        <f>3*(2*5.1)</f>
        <v>30.599999999999998</v>
      </c>
      <c r="G45">
        <f>3*(2*5.8+2.4+1.9*2)</f>
        <v>53.400000000000006</v>
      </c>
    </row>
    <row r="46" spans="1:7">
      <c r="A46" t="s">
        <v>55</v>
      </c>
      <c r="B46">
        <f>3*(6+5+5.5+3.5)/0.13</f>
        <v>461.53846153846155</v>
      </c>
      <c r="E46">
        <f>3*(2*4.3)</f>
        <v>25.799999999999997</v>
      </c>
      <c r="F46">
        <f>3*(2*(11.7+3.9+4.9+3.9+3.8+2.6+6.8+5.7+6.3)+4.4+3.8+4.6)</f>
        <v>336</v>
      </c>
      <c r="G46">
        <f>3*(2*(3.8+2*2.9))</f>
        <v>57.599999999999994</v>
      </c>
    </row>
    <row r="47" spans="1:7">
      <c r="A47" t="s">
        <v>56</v>
      </c>
      <c r="B47">
        <f>6*1.5*(4.4+5.8)/0.13</f>
        <v>706.15384615384608</v>
      </c>
      <c r="F47">
        <f>6*(2*(3.6+3.4+4.6))</f>
        <v>139.19999999999999</v>
      </c>
      <c r="G47">
        <f>6*(4*(8.4+4.5+2.2+3.5)+5*(5+7.2))</f>
        <v>812.40000000000009</v>
      </c>
    </row>
    <row r="48" spans="1:7">
      <c r="A48" t="s">
        <v>51</v>
      </c>
      <c r="B48">
        <f>3*(3+3.8+3+3+5.5+4.2+5)/0.13</f>
        <v>634.61538461538464</v>
      </c>
      <c r="F48">
        <f>3*(2*(11.4+9.7+10.4)+4.2+3.3+4.6+2.9)</f>
        <v>234</v>
      </c>
      <c r="G48">
        <f>3*(2*(10.1+8.4+5.5+2+8.6+2*2.5)+3.3+3.2+2.4+2.5+2.6)</f>
        <v>279.60000000000002</v>
      </c>
    </row>
    <row r="49" spans="1:8">
      <c r="A49" t="s">
        <v>52</v>
      </c>
      <c r="B49">
        <f>3*(3.4+5+3.4)/0.13</f>
        <v>272.30769230769232</v>
      </c>
      <c r="F49">
        <f>3*(2*(4.2+9.6)+3.8)</f>
        <v>94.2</v>
      </c>
      <c r="G49">
        <f>3*(2*(7.2+7.3+1.9+1.9)+3.1+3.1)</f>
        <v>128.39999999999998</v>
      </c>
    </row>
    <row r="50" spans="1:8">
      <c r="A50" t="s">
        <v>57</v>
      </c>
    </row>
    <row r="51" spans="1:8">
      <c r="A51" t="s">
        <v>48</v>
      </c>
      <c r="B51">
        <f>6*1.5*(5.2+4.8+5+5+4.8+5.4)/0.13</f>
        <v>2090.7692307692309</v>
      </c>
      <c r="G51">
        <f>6*(2*(8.9+5.5+10.9+8.9+2.5+6+3.6+3.5+10.7+5.7+8.9+2*2.5+11)+3.6+3.5+3.6+4.4+3.6+3.8+3.8+3.6+4.4)</f>
        <v>1299.0000000000002</v>
      </c>
    </row>
    <row r="52" spans="1:8">
      <c r="A52" t="s">
        <v>37</v>
      </c>
      <c r="B52">
        <f>6*1.5*(5.5+4.8+2.5)/0.13</f>
        <v>886.15384615384619</v>
      </c>
      <c r="G52">
        <f>6*(4*8.9+2*6.1+4*2.5+2*3.8+4*5.1+2*6.1+2*6.2+4.4+3.9)</f>
        <v>712.2</v>
      </c>
    </row>
    <row r="53" spans="1:8">
      <c r="B53">
        <f>6*1.5*(1.6+4.8+5.4)/0.13</f>
        <v>816.92307692307691</v>
      </c>
      <c r="F53">
        <f>6*(2*(6.9+6)+3.7+4.4)</f>
        <v>203.39999999999998</v>
      </c>
      <c r="G53">
        <f>6*(2*(4.9+8.9+3.8+3.8)+2.5)</f>
        <v>271.8</v>
      </c>
    </row>
    <row r="54" spans="1:8">
      <c r="A54" t="s">
        <v>46</v>
      </c>
      <c r="B54">
        <f>6*1.5*(2.4+2.5+4.2)/0.13</f>
        <v>630</v>
      </c>
      <c r="F54">
        <f>3*(2*(12)+4.2)</f>
        <v>84.6</v>
      </c>
      <c r="G54">
        <f>3*(2*(12+2*7.8+2*2.4))</f>
        <v>194.39999999999998</v>
      </c>
    </row>
    <row r="55" spans="1:8">
      <c r="A55" t="s">
        <v>49</v>
      </c>
      <c r="B55">
        <f>6*1.5*(6+5+5.5)/0.13</f>
        <v>1142.3076923076924</v>
      </c>
      <c r="F55">
        <f>6*((2*6.7+2*5.7+2*6.5)+4.9+3.8+4.6)</f>
        <v>306.59999999999997</v>
      </c>
      <c r="G55">
        <f>6*(2*(9.7+9.5+2*2.8+2*2.8)+3.9+3.8)</f>
        <v>411</v>
      </c>
    </row>
    <row r="56" spans="1:8">
      <c r="A56" t="s">
        <v>41</v>
      </c>
      <c r="B56">
        <f>6*1.5*(6+5+5)/0.13</f>
        <v>1107.6923076923076</v>
      </c>
      <c r="F56">
        <f>6*(2*(6.9+5.7+6.5)+3.9+3.8+4.9+3.8+4.6)</f>
        <v>355.2</v>
      </c>
      <c r="G56">
        <f>6*(2*(9.7+4.1+2.8+2.8))</f>
        <v>232.79999999999998</v>
      </c>
    </row>
    <row r="57" spans="1:8">
      <c r="A57" t="s">
        <v>58</v>
      </c>
      <c r="B57">
        <f>12*1.5*(6+5+5.5+1.2)/0.13</f>
        <v>2450.7692307692305</v>
      </c>
      <c r="F57">
        <f>3*(2*(7.8+5.7+7.9)+4.9+3.8+4.6)</f>
        <v>168.29999999999998</v>
      </c>
      <c r="G57">
        <f>12*(2*(5+11.7+5.2+3.8+2*3.1)+3.9+3.8)</f>
        <v>858</v>
      </c>
    </row>
    <row r="58" spans="1:8">
      <c r="A58" t="s">
        <v>43</v>
      </c>
      <c r="B58">
        <f>6*((2.4+6+4)/0.13)</f>
        <v>572.30769230769238</v>
      </c>
      <c r="F58">
        <f>6*(2*(9.1+4.7)+4.4)</f>
        <v>192</v>
      </c>
      <c r="G58">
        <f>6*(2*(6.5+8.3+5.2+2)+3.6)</f>
        <v>285.60000000000002</v>
      </c>
    </row>
    <row r="59" spans="1:8">
      <c r="B59">
        <f>6*(4/0.13)</f>
        <v>184.61538461538458</v>
      </c>
      <c r="G59">
        <f>6*(2*5.8+5.1+2*2+2*2.6)</f>
        <v>155.39999999999998</v>
      </c>
    </row>
    <row r="60" spans="1:8">
      <c r="A60" t="s">
        <v>50</v>
      </c>
      <c r="B60">
        <f>12*1.5*(4.4+5.8)/0.13</f>
        <v>1412.3076923076922</v>
      </c>
      <c r="F60">
        <f>12*(2*(3.6+3.4+4.6))</f>
        <v>278.39999999999998</v>
      </c>
      <c r="G60">
        <f>12*(4*(8.4+4.5+2.2+3.5)+5*(5+7.2))</f>
        <v>1624.8000000000002</v>
      </c>
    </row>
    <row r="61" spans="1:8">
      <c r="A61" t="s">
        <v>51</v>
      </c>
      <c r="B61">
        <f>6*(6+4+3+5.5+4.2+5)/0.13</f>
        <v>1278.4615384615383</v>
      </c>
      <c r="F61">
        <f>3*(2*(11.4+9.7+10.4)+4.2+3.3+4.6+2.9)</f>
        <v>234</v>
      </c>
      <c r="G61">
        <f>6*(2*(4.3+8+11.2+8+4.6+2*3.5+3.6+2*3.4)+3.4+3.7+3.4+3.6)</f>
        <v>726.6</v>
      </c>
    </row>
    <row r="62" spans="1:8">
      <c r="A62" t="s">
        <v>59</v>
      </c>
      <c r="B62">
        <f>12*(3.4+5+3.4)/0.13</f>
        <v>1089.2307692307693</v>
      </c>
      <c r="F62">
        <f>12*(2*(4.2+9.6)+3.8)</f>
        <v>376.8</v>
      </c>
      <c r="G62">
        <f>12*(2*(7.2+7.3+1.9+1.9)+3.1+3.1)</f>
        <v>513.59999999999991</v>
      </c>
    </row>
    <row r="63" spans="1:8" s="20" customFormat="1">
      <c r="A63" s="20" t="s">
        <v>60</v>
      </c>
      <c r="B63" s="20">
        <f>SUM(B2:B62)</f>
        <v>28833.680769230767</v>
      </c>
      <c r="C63" s="20">
        <f t="shared" ref="C63:H63" si="0">SUM(C2:C62)</f>
        <v>0</v>
      </c>
      <c r="D63" s="20">
        <f t="shared" si="0"/>
        <v>0</v>
      </c>
      <c r="E63" s="20">
        <f t="shared" si="0"/>
        <v>1118.3799999999999</v>
      </c>
      <c r="F63" s="20">
        <f t="shared" si="0"/>
        <v>5397.95</v>
      </c>
      <c r="G63" s="20">
        <f t="shared" si="0"/>
        <v>13116.55</v>
      </c>
      <c r="H63" s="20">
        <f t="shared" si="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Cover Page</vt:lpstr>
      <vt:lpstr>preamble to BOQ</vt:lpstr>
      <vt:lpstr>Summary</vt:lpstr>
      <vt:lpstr>BOQ</vt:lpstr>
      <vt:lpstr>Rebar</vt:lpstr>
      <vt:lpstr>BOQ!Area_stampa</vt:lpstr>
      <vt:lpstr>'Cover Page'!Area_stampa</vt:lpstr>
      <vt:lpstr>'preamble to BOQ'!Area_stampa</vt:lpstr>
      <vt:lpstr>Summary!Area_stampa</vt:lpstr>
      <vt:lpstr>BOQ!Titoli_stampa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Michela MS. Staurini</cp:lastModifiedBy>
  <cp:lastPrinted>2023-04-24T07:22:01Z</cp:lastPrinted>
  <dcterms:created xsi:type="dcterms:W3CDTF">2013-05-22T17:33:18Z</dcterms:created>
  <dcterms:modified xsi:type="dcterms:W3CDTF">2023-05-09T10:31:35Z</dcterms:modified>
</cp:coreProperties>
</file>