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0" yWindow="0" windowWidth="19420" windowHeight="11020" tabRatio="670" activeTab="2"/>
  </bookViews>
  <sheets>
    <sheet name="Cover Page" sheetId="41" r:id="rId1"/>
    <sheet name="preamble to BOQ" sheetId="42" r:id="rId2"/>
    <sheet name="Summary" sheetId="21" r:id="rId3"/>
    <sheet name="BOQ" sheetId="20" r:id="rId4"/>
    <sheet name="TO-1" sheetId="43" r:id="rId5"/>
    <sheet name="Rebar" sheetId="29" state="hidden"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dhfsjhfsfjfjfj">'[1]05 Ar &amp; St'!#REF!</definedName>
    <definedName name="_____con25" localSheetId="4">#REF!</definedName>
    <definedName name="_____con25">#REF!</definedName>
    <definedName name="____dim03670" localSheetId="4">#REF!</definedName>
    <definedName name="____dim03670">#REF!</definedName>
    <definedName name="____gip1" localSheetId="4">#REF!</definedName>
    <definedName name="____gip1">#REF!</definedName>
    <definedName name="____gip2">#REF!</definedName>
    <definedName name="____hcb20">#REF!</definedName>
    <definedName name="____snf300250">#REF!</definedName>
    <definedName name="____tms118">#REF!</definedName>
    <definedName name="____tms136">#REF!</definedName>
    <definedName name="____tms236">#REF!</definedName>
    <definedName name="____tmw065136">#REF!</definedName>
    <definedName name="___A122816">#REF!</definedName>
    <definedName name="___con25">#REF!</definedName>
    <definedName name="___dim03670">#REF!</definedName>
    <definedName name="___gip1">#REF!</definedName>
    <definedName name="___gip2">#REF!</definedName>
    <definedName name="___hcb20">#REF!</definedName>
    <definedName name="___snf300250">#REF!</definedName>
    <definedName name="___tms118">#REF!</definedName>
    <definedName name="___tms136">#REF!</definedName>
    <definedName name="___tms236">#REF!</definedName>
    <definedName name="___tmw065136">#REF!</definedName>
    <definedName name="__A122816">#REF!</definedName>
    <definedName name="__con25">#REF!</definedName>
    <definedName name="__dim03670">#REF!</definedName>
    <definedName name="__flr2">'[2] L -1  sub R-bar for 200Kpa '!$G$1:$G$65536</definedName>
    <definedName name="__gip1">#REF!</definedName>
    <definedName name="__gip2">#REF!</definedName>
    <definedName name="__hcb20">#REF!</definedName>
    <definedName name="__len2">'[2] L -1  sub R-bar for 200Kpa '!$F$1:$F$65536</definedName>
    <definedName name="__mbr2">'[2] L -1  sub R-bar for 200Kpa '!$H$1:$H$65536</definedName>
    <definedName name="__rbr2">'[2] L -1  sub R-bar for 200Kpa '!$I$1:$I$65536</definedName>
    <definedName name="__snf300250">#REF!</definedName>
    <definedName name="__tms118">#REF!</definedName>
    <definedName name="__tms136">#REF!</definedName>
    <definedName name="__tms236">#REF!</definedName>
    <definedName name="__tmw065136">#REF!</definedName>
    <definedName name="_A122816">#REF!</definedName>
    <definedName name="_con25">#REF!</definedName>
    <definedName name="_dim03670">#REF!</definedName>
    <definedName name="_Flr1">'[3]RHS and Lattice purline A-2'!$G$1:$G$65536</definedName>
    <definedName name="_flr2">'[4] L -1  sub R-bar for 200Kpa '!$G$1:$G$65536</definedName>
    <definedName name="_gip1">#REF!</definedName>
    <definedName name="_gip2">#REF!</definedName>
    <definedName name="_hcb20">#REF!</definedName>
    <definedName name="_len2">'[4] L -1  sub R-bar for 200Kpa '!$F$1:$F$65536</definedName>
    <definedName name="_MatInverse_In" hidden="1">#REF!</definedName>
    <definedName name="_mbr1">'[3]RHS and Lattice purline A-2'!$H$1:$H$65536</definedName>
    <definedName name="_mbr2">'[4] L -1  sub R-bar for 200Kpa '!$H$1:$H$65536</definedName>
    <definedName name="_Order1" hidden="1">255</definedName>
    <definedName name="_rbr2">'[4] L -1  sub R-bar for 200Kpa '!$I$1:$I$65536</definedName>
    <definedName name="_snf300250">#REF!</definedName>
    <definedName name="_tms118">#REF!</definedName>
    <definedName name="_tms136">#REF!</definedName>
    <definedName name="_tms236">#REF!</definedName>
    <definedName name="_tmw065136">#REF!</definedName>
    <definedName name="a" localSheetId="4">#REF!</definedName>
    <definedName name="a">#REF!</definedName>
    <definedName name="aaaa" localSheetId="4">#REF!</definedName>
    <definedName name="aaaa">#REF!</definedName>
    <definedName name="aaaaa" localSheetId="4">#REF!</definedName>
    <definedName name="aaaaa">#REF!</definedName>
    <definedName name="aaaaaaaa">#REF!</definedName>
    <definedName name="ABC">#REF!</definedName>
    <definedName name="abel">#REF!</definedName>
    <definedName name="acb10a1p">#REF!</definedName>
    <definedName name="acb10a3p">#REF!</definedName>
    <definedName name="acb16a1p">#REF!</definedName>
    <definedName name="acb16a3p">#REF!</definedName>
    <definedName name="acb20a1p">#REF!</definedName>
    <definedName name="acb20a3p">#REF!</definedName>
    <definedName name="acb25a1p">#REF!</definedName>
    <definedName name="acb25a3p">#REF!</definedName>
    <definedName name="acb2a1p">#REF!</definedName>
    <definedName name="acb32a1p">#REF!</definedName>
    <definedName name="acb32a3p">#REF!</definedName>
    <definedName name="acb40a1p">#REF!</definedName>
    <definedName name="acb40a3p">#REF!</definedName>
    <definedName name="acb40a3p2">#REF!</definedName>
    <definedName name="acb50a1p">#REF!</definedName>
    <definedName name="acb50a3p">#REF!</definedName>
    <definedName name="acb63a1p">#REF!</definedName>
    <definedName name="acb63a3p">#REF!</definedName>
    <definedName name="acb6a1p">#REF!</definedName>
    <definedName name="acb6a3p">#REF!</definedName>
    <definedName name="Advance_Repay">#REF!</definedName>
    <definedName name="afdaf">#REF!</definedName>
    <definedName name="airterminal1">#REF!</definedName>
    <definedName name="analyses">#REF!</definedName>
    <definedName name="asdgadg">#REF!</definedName>
    <definedName name="asfgas">#REF!</definedName>
    <definedName name="b">#REF!</definedName>
    <definedName name="bbbbb">#REF!</definedName>
    <definedName name="bbbbbbbb">#REF!</definedName>
    <definedName name="bbbbbbbbbbbbbbbb">#REF!</definedName>
    <definedName name="Beg_Bal">#REF!</definedName>
    <definedName name="bell">#REF!</definedName>
    <definedName name="bellcallpoint">#REF!</definedName>
    <definedName name="belltransformer">#REF!</definedName>
    <definedName name="bill">#REF!</definedName>
    <definedName name="block_range">'[1]A-2 blcok work Res.'!$A$1:$E$65536</definedName>
    <definedName name="Block_Summary" localSheetId="4">#REF!</definedName>
    <definedName name="Block_Summary">#REF!</definedName>
    <definedName name="Block_total">'[5]Ar &amp; St'!$M$46</definedName>
    <definedName name="Block_Work">'[1]05 Ar &amp; St'!#REF!</definedName>
    <definedName name="Block_work_range">'[6]E-1 Block Work Residence'!$A$1:$F$65536</definedName>
    <definedName name="Block_work_total">'[1]05 Ar &amp; St'!$M$49</definedName>
    <definedName name="boq" localSheetId="4">#REF!</definedName>
    <definedName name="boq">#REF!</definedName>
    <definedName name="buzzer" localSheetId="4">#REF!</definedName>
    <definedName name="buzzer">#REF!</definedName>
    <definedName name="bvvhjh" localSheetId="4">#REF!</definedName>
    <definedName name="bvvhjh">#REF!</definedName>
    <definedName name="CABLE">[7]price!$G$51</definedName>
    <definedName name="cable2x1.5">#REF!</definedName>
    <definedName name="cable2x10">#REF!</definedName>
    <definedName name="cable2x16">#REF!</definedName>
    <definedName name="cable2x2.5">#REF!</definedName>
    <definedName name="cable2x4">#REF!</definedName>
    <definedName name="cable2x6">#REF!</definedName>
    <definedName name="cable3x1.5">#REF!</definedName>
    <definedName name="cable3x10">#REF!</definedName>
    <definedName name="cable3x12070">#REF!</definedName>
    <definedName name="cable3x15070">#REF!</definedName>
    <definedName name="cable3x16">#REF!</definedName>
    <definedName name="cable3x18595">#REF!</definedName>
    <definedName name="cable3x2.5">#REF!</definedName>
    <definedName name="cable3x240120">#REF!</definedName>
    <definedName name="cable3x2516">#REF!</definedName>
    <definedName name="cable3x300150">#REF!</definedName>
    <definedName name="cable3x3516">#REF!</definedName>
    <definedName name="cable3x4">#REF!</definedName>
    <definedName name="cable3x5025">#REF!</definedName>
    <definedName name="cable3x6">#REF!</definedName>
    <definedName name="cable3x7035">#REF!</definedName>
    <definedName name="cable3x9550">#REF!</definedName>
    <definedName name="cable4x1.5">#REF!</definedName>
    <definedName name="cable4x10">#REF!</definedName>
    <definedName name="cable4x16">#REF!</definedName>
    <definedName name="cable4x2.5">#REF!</definedName>
    <definedName name="cable4x4">#REF!</definedName>
    <definedName name="cable4x6">#REF!</definedName>
    <definedName name="cabletray200x100">#REF!</definedName>
    <definedName name="cabletray400x100">#REF!</definedName>
    <definedName name="cabletray500x110">#REF!</definedName>
    <definedName name="cabletray500x75">#REF!</definedName>
    <definedName name="callpanel12no">#REF!</definedName>
    <definedName name="callpanel16no">#REF!</definedName>
    <definedName name="callpanel24no">#REF!</definedName>
    <definedName name="callpanel8no">#REF!</definedName>
    <definedName name="ccc">#REF!</definedName>
    <definedName name="ceiling">#REF!</definedName>
    <definedName name="ceilingglobe">#REF!</definedName>
    <definedName name="cemic">#REF!</definedName>
    <definedName name="cisheet">#REF!</definedName>
    <definedName name="Column_Info">#REF!</definedName>
    <definedName name="Concrete_total">'[8] Ar &amp; St'!$M$39</definedName>
    <definedName name="conductor10">#REF!</definedName>
    <definedName name="conductor16">#REF!</definedName>
    <definedName name="conductor25">#REF!</definedName>
    <definedName name="conductor35">#REF!</definedName>
    <definedName name="conductor4">#REF!</definedName>
    <definedName name="conductor50">#REF!</definedName>
    <definedName name="conductor6">#REF!</definedName>
    <definedName name="conductor70">#REF!</definedName>
    <definedName name="conduit110">#REF!</definedName>
    <definedName name="conduit13.5">#REF!</definedName>
    <definedName name="conduit16">#REF!</definedName>
    <definedName name="conduit19">#REF!</definedName>
    <definedName name="conduit20">#REF!</definedName>
    <definedName name="conduit21">#REF!</definedName>
    <definedName name="conduit25">#REF!</definedName>
    <definedName name="conduit29">#REF!</definedName>
    <definedName name="conduit32">#REF!</definedName>
    <definedName name="conduit36">#REF!</definedName>
    <definedName name="conduit40">#REF!</definedName>
    <definedName name="conduit50">#REF!</definedName>
    <definedName name="conduit75">#REF!</definedName>
    <definedName name="CONT_QTY">#REF!</definedName>
    <definedName name="contactor10a3p">#REF!</definedName>
    <definedName name="contactor16a3p">#REF!</definedName>
    <definedName name="contactor25a3p">#REF!</definedName>
    <definedName name="contactor32a3p">#REF!</definedName>
    <definedName name="contactor40a3p">#REF!</definedName>
    <definedName name="contactor60a3p">#REF!</definedName>
    <definedName name="contactor6a3p">#REF!</definedName>
    <definedName name="contactor90a3p">#REF!</definedName>
    <definedName name="ContQTYsb">'[1]05 Sub Structure BC = 300'!$F$1:$F$65536</definedName>
    <definedName name="ContQTYsp">'[1]05 Ar &amp; St'!$F$1:$F$65536</definedName>
    <definedName name="ContQTYspr">'[9]Super BOQ'!$F:$F</definedName>
    <definedName name="coppertape25x3">#REF!</definedName>
    <definedName name="Cum_Int">#REF!</definedName>
    <definedName name="curt_qty_sub">'[10]Sub Structure BC = 300'!$I$1:$I$65536</definedName>
    <definedName name="curt_qty_subs">#REF!</definedName>
    <definedName name="CurtAMTsb">'[1]05 Sub Structure BC = 300'!$L$1:$L$65536</definedName>
    <definedName name="CurtAMTspr">'[1]05 Ar &amp; St'!$L$1:$L$65536</definedName>
    <definedName name="CurtAmtsub2" localSheetId="4">#REF!</definedName>
    <definedName name="CurtAmtsub2">#REF!</definedName>
    <definedName name="CurtQTYsb">'[1]05 Sub Structure BC = 300'!$I$1:$I$65536</definedName>
    <definedName name="CurtQTYspr">'[1]05 Ar &amp; St'!$I$1:$I$65536</definedName>
    <definedName name="CurtQtysub2" localSheetId="4">#REF!</definedName>
    <definedName name="CurtQtysub2">#REF!</definedName>
    <definedName name="czdczc" localSheetId="4">#REF!</definedName>
    <definedName name="czdczc">#REF!</definedName>
    <definedName name="d">'[11] analysis'!$J$64</definedName>
    <definedName name="DALI_8BUTTON">#REF!</definedName>
    <definedName name="DALI_DIMMER">#REF!</definedName>
    <definedName name="DALI_INFRARED_SENSOR">#REF!</definedName>
    <definedName name="dali_infraredsensor">#REF!</definedName>
    <definedName name="DALI_MULTISENSOR">#REF!</definedName>
    <definedName name="DALI_POWERSUPPLY">#REF!</definedName>
    <definedName name="DALI_PROGRAM">#REF!</definedName>
    <definedName name="DALI_RELAY">#REF!</definedName>
    <definedName name="dali_remote">#REF!</definedName>
    <definedName name="DALI_SOFTWARE">#REF!</definedName>
    <definedName name="Data">#REF!</definedName>
    <definedName name="data_telecom">#REF!</definedName>
    <definedName name="Dayworks">#REF!</definedName>
    <definedName name="Dayworks10">#REF!</definedName>
    <definedName name="Dayworks11">#REF!</definedName>
    <definedName name="Dayworks12">#REF!</definedName>
    <definedName name="Dayworks13">#REF!</definedName>
    <definedName name="Dayworks14">#REF!</definedName>
    <definedName name="Dayworks15">#REF!</definedName>
    <definedName name="Dayworks16">#REF!</definedName>
    <definedName name="Dayworks2">#REF!</definedName>
    <definedName name="Dayworks3">#REF!</definedName>
    <definedName name="Dayworks4">#REF!</definedName>
    <definedName name="Dayworks5">#REF!</definedName>
    <definedName name="Dayworks6">#REF!</definedName>
    <definedName name="Dayworks7">#REF!</definedName>
    <definedName name="Dayworks8">#REF!</definedName>
    <definedName name="Dayworks9">#REF!</definedName>
    <definedName name="dddd">#REF!</definedName>
    <definedName name="dddddddd">#REF!</definedName>
    <definedName name="ddsss">#REF!</definedName>
    <definedName name="Depth_of_Bulk">'[12]Solomon Weldu A2,E1-FevV'!#REF!</definedName>
    <definedName name="df">#REF!</definedName>
    <definedName name="Dia">#REF!</definedName>
    <definedName name="dilla1">#REF!</definedName>
    <definedName name="dimmerswitch1200w">#REF!</definedName>
    <definedName name="dimmerswitch2000w">#REF!</definedName>
    <definedName name="dimmerswitch300w">#REF!</definedName>
    <definedName name="Door">'[13]Windows and Doors'!$A$5:$Y$10</definedName>
    <definedName name="doorswitchpoint">#REF!</definedName>
    <definedName name="doubleswitch">#REF!</definedName>
    <definedName name="doubletwowayswitch">#REF!</definedName>
    <definedName name="e">'[11] analysis'!$J$64</definedName>
    <definedName name="Earth_W">#REF!</definedName>
    <definedName name="Earth_work">'[1]05 Sub Structure BC = 300'!$M$24</definedName>
    <definedName name="earthrod1200x16">#REF!</definedName>
    <definedName name="earthrod2400x16">#REF!</definedName>
    <definedName name="eeeee">#REF!</definedName>
    <definedName name="eere343">#REF!</definedName>
    <definedName name="End_Bal">#REF!</definedName>
    <definedName name="Equip">'[14]Equipment data'!$B$9:$B$31</definedName>
    <definedName name="ergerh">#REF!</definedName>
    <definedName name="Excavation">'[15] E2 Res (EXC&amp;MAS200kp)'!$A$1:$E$65536</definedName>
    <definedName name="Extra_Pay">#REF!</definedName>
    <definedName name="F">'[9]Supr Rebar'!$G:$G</definedName>
    <definedName name="fasdf">'[13]BOQ Ar &amp; St'!$F$1:$F$65536</definedName>
    <definedName name="fefeef">'[1]05 RB A-2 300kp Res. Sub St.'!#REF!</definedName>
    <definedName name="fffff">#REF!</definedName>
    <definedName name="ffffff">#REF!</definedName>
    <definedName name="ffffffffffffffff">#REF!</definedName>
    <definedName name="ffsfssfsg">#REF!</definedName>
    <definedName name="ffsgsg">#REF!</definedName>
    <definedName name="fhjf">#REF!</definedName>
    <definedName name="ficotp">#REF!</definedName>
    <definedName name="Finishing">'[1]05 Ar &amp; St'!#REF!</definedName>
    <definedName name="Finishing_60">'[16]05 A-2 300kp Res. Sup St.'!$A$1:$F$65536</definedName>
    <definedName name="Finishing_range">#REF!</definedName>
    <definedName name="Finishing_total">#REF!</definedName>
    <definedName name="Finisning_total">'[5]Ar &amp; St'!#REF!</definedName>
    <definedName name="firealarmcontrolpanel" localSheetId="4">#REF!</definedName>
    <definedName name="firealarmcontrolpanel">#REF!</definedName>
    <definedName name="floatswitch" localSheetId="4">#REF!</definedName>
    <definedName name="floatswitch">#REF!</definedName>
    <definedName name="floorbox" localSheetId="4">#REF!</definedName>
    <definedName name="floorbox">#REF!</definedName>
    <definedName name="flortil">#REF!</definedName>
    <definedName name="Flr">'[13]Sub-Structure Rein'!$G$1:$G$65536</definedName>
    <definedName name="flushpanel12acb">#REF!</definedName>
    <definedName name="flushpanel15acb">#REF!</definedName>
    <definedName name="flushpanel24acb">#REF!</definedName>
    <definedName name="flushpanel36acb">#REF!</definedName>
    <definedName name="flushpanel48acb">#REF!</definedName>
    <definedName name="flushpanel4acb">#REF!</definedName>
    <definedName name="flushpanel6acb">#REF!</definedName>
    <definedName name="flushpanel8acb">#REF!</definedName>
    <definedName name="Footing_Type1">#REF!</definedName>
    <definedName name="formw">#REF!</definedName>
    <definedName name="fr">'[17] Rebar. C '!$G$8:$G$64988</definedName>
    <definedName name="ftt">#REF!</definedName>
    <definedName name="Full_Print">#REF!</definedName>
    <definedName name="fusedswitch125a3p">#REF!</definedName>
    <definedName name="fusedswitch250a3p">#REF!</definedName>
    <definedName name="fusedswitch4003p">#REF!</definedName>
    <definedName name="fusedswitch630a3p">#REF!</definedName>
    <definedName name="fusedswitch63a3p">#REF!</definedName>
    <definedName name="g">#REF!</definedName>
    <definedName name="gddhdhdh">#REF!</definedName>
    <definedName name="gegege">#REF!</definedName>
    <definedName name="GFG">#REF!</definedName>
    <definedName name="gfgfgfgfh">#REF!</definedName>
    <definedName name="gg">#REF!</definedName>
    <definedName name="ggggg">'[17]Block A Rebar'!$F$8:$F$65276</definedName>
    <definedName name="gggggg">'[17]Block A Rebar'!$F$8:$F$65283</definedName>
    <definedName name="gggggggggggg">#REF!</definedName>
    <definedName name="gh">#REF!</definedName>
    <definedName name="ghg">#REF!</definedName>
    <definedName name="GINSHO">#REF!</definedName>
    <definedName name="gip0.5">#REF!</definedName>
    <definedName name="gip0.75">#REF!</definedName>
    <definedName name="glaz">#REF!</definedName>
    <definedName name="glz">'[18]A2 for above 3rd floor'!$G$140</definedName>
    <definedName name="gslabc20">#REF!</definedName>
    <definedName name="h">#REF!</definedName>
    <definedName name="hard">#REF!</definedName>
    <definedName name="Header_Row">ROW(#REF!)</definedName>
    <definedName name="Height_b_n_FFL_and_Bottom_of_Pit1">#REF!</definedName>
    <definedName name="Height_b_n_Profile_and_Bottom_of_Pit1">#REF!</definedName>
    <definedName name="Height_b_n_Profile_and_FFL1">#REF!</definedName>
    <definedName name="Height_b_n_Profile_and_NGL1">#REF!</definedName>
    <definedName name="Height_b_n_Profile_and_RGL1">#REF!</definedName>
    <definedName name="hfhfgh">#REF!</definedName>
    <definedName name="hfhfhfhff">#REF!</definedName>
    <definedName name="hfhfhhf">#REF!</definedName>
    <definedName name="hfjdfhjkahfkaj">#REF!</definedName>
    <definedName name="hghgh">#REF!</definedName>
    <definedName name="hh">#REF!</definedName>
    <definedName name="hhg_bcgf">'[1]05 Ar &amp; St'!#REF!</definedName>
    <definedName name="hhh" localSheetId="4">#REF!</definedName>
    <definedName name="hhh">#REF!</definedName>
    <definedName name="hhhh" localSheetId="4">#REF!</definedName>
    <definedName name="hhhh">#REF!</definedName>
    <definedName name="hhhhh" localSheetId="4">#REF!</definedName>
    <definedName name="hhhhh">#REF!</definedName>
    <definedName name="hhhhhh">'[17]Block A Rebar'!$H$8:$H$65275</definedName>
    <definedName name="hhjkljkljljklj">#REF!</definedName>
    <definedName name="hilina">#REF!</definedName>
    <definedName name="hjcgj">'[17]Block A Rebar'!$F$8:$F$66161</definedName>
    <definedName name="hjfhjfhjfjh">#REF!</definedName>
    <definedName name="hjgfnsdfd">#REF!</definedName>
    <definedName name="Int">#REF!</definedName>
    <definedName name="Interest_Rate">#REF!</definedName>
    <definedName name="intermediateswitch">#REF!</definedName>
    <definedName name="international">#REF!</definedName>
    <definedName name="jfhjfjhjf">#REF!</definedName>
    <definedName name="jfhjhfjhfjhj">#REF!</definedName>
    <definedName name="jfjfhh">#REF!</definedName>
    <definedName name="jgjgjgj">'[17]Block A Rebar'!$F$8:$F$66053</definedName>
    <definedName name="jhfhhffhd">'[1]05 Ar &amp; St'!#REF!</definedName>
    <definedName name="jjj" localSheetId="4">#REF!</definedName>
    <definedName name="jjj">#REF!</definedName>
    <definedName name="jjjkjkj" localSheetId="4">#REF!</definedName>
    <definedName name="jjjkjkj">#REF!</definedName>
    <definedName name="jkkkk" localSheetId="4">#REF!</definedName>
    <definedName name="jkkkk">#REF!</definedName>
    <definedName name="jnry">'[18]A2 for above 3rd floor'!$G$56</definedName>
    <definedName name="Joinery">'[1]05 Ar &amp; St'!#REF!</definedName>
    <definedName name="jtvjbkn" localSheetId="4">#REF!</definedName>
    <definedName name="jtvjbkn">#REF!</definedName>
    <definedName name="KASSAYE" localSheetId="4">#REF!</definedName>
    <definedName name="KASSAYE">#REF!</definedName>
    <definedName name="kk" localSheetId="4">#REF!</definedName>
    <definedName name="kk">#REF!</definedName>
    <definedName name="kkk">#REF!</definedName>
    <definedName name="kkkkk">'[12]Solomon Weldu A2,E1-FevV'!#REF!</definedName>
    <definedName name="kkkkkk">'[19]Sub Structure BC = 200'!#REF!</definedName>
    <definedName name="KWH32A1P">#REF!</definedName>
    <definedName name="kwh63a1p">#REF!</definedName>
    <definedName name="KWH63A3P">#REF!</definedName>
    <definedName name="Landscaping">'[1]05 Ar &amp; St'!#REF!</definedName>
    <definedName name="Last_Row" localSheetId="4">IF('TO-1'!Values_Entered,Header_Row+'TO-1'!Number_of_Payments,Header_Row)</definedName>
    <definedName name="Last_Row">IF(Values_Entered,Header_Row+Number_of_Payments,Header_Row)</definedName>
    <definedName name="latch" localSheetId="4">#REF!</definedName>
    <definedName name="latch">#REF!</definedName>
    <definedName name="ldsp">'[18]A2 for above 3rd floor'!$G$145</definedName>
    <definedName name="Length">'[13]Sub-Structure Rein'!$F$1:$F$65536</definedName>
    <definedName name="length1">'[3]RHS and Lattice purline A-2'!$F$1:$F$65536</definedName>
    <definedName name="lightpoint">#REF!</definedName>
    <definedName name="llll">#REF!</definedName>
    <definedName name="lllllll">#REF!</definedName>
    <definedName name="LNG">'[9]Supr Rebar'!$F:$F</definedName>
    <definedName name="Loan_Amount">#REF!</definedName>
    <definedName name="Loan_Start">#REF!</definedName>
    <definedName name="Loan_Years">#REF!</definedName>
    <definedName name="lot">#REF!</definedName>
    <definedName name="M">'[9]Supr Rebar'!$H:$H</definedName>
    <definedName name="masa">#REF!</definedName>
    <definedName name="masb">#REF!</definedName>
    <definedName name="Masonry_Work">'[1]05 Sub Structure BC = 300'!$M$62</definedName>
    <definedName name="Mbr">'[13]Sub-Structure Rein'!$H$1:$H$65536</definedName>
    <definedName name="mccb1000a3p">#REF!</definedName>
    <definedName name="mccb100a3p">#REF!</definedName>
    <definedName name="mccb1250a3p">#REF!</definedName>
    <definedName name="mccb125a3p">#REF!</definedName>
    <definedName name="mccb1600a3p">#REF!</definedName>
    <definedName name="mccb160a3p">#REF!</definedName>
    <definedName name="mccb200a3p">#REF!</definedName>
    <definedName name="mccb250a3p">#REF!</definedName>
    <definedName name="mccb315a3p">#REF!</definedName>
    <definedName name="mccb350a3p">#REF!</definedName>
    <definedName name="mccb400a3p">#REF!</definedName>
    <definedName name="mccb500a3p">#REF!</definedName>
    <definedName name="mccb630a3p">#REF!</definedName>
    <definedName name="mccb80a3p">#REF!</definedName>
    <definedName name="Metal_Work">'[1]05 Ar &amp; St'!#REF!</definedName>
    <definedName name="MEWD" localSheetId="4">#REF!</definedName>
    <definedName name="MEWD">#REF!</definedName>
    <definedName name="mh">'[1]05 Ar &amp; St'!#REF!</definedName>
    <definedName name="mmm" localSheetId="4">#REF!</definedName>
    <definedName name="mmm">#REF!</definedName>
    <definedName name="mmmmmm" localSheetId="4">#REF!</definedName>
    <definedName name="mmmmmm">#REF!</definedName>
    <definedName name="movement_sensor" localSheetId="4">#REF!</definedName>
    <definedName name="movement_sensor">#REF!</definedName>
    <definedName name="MR">'[20]communal sub r-bar'!$H$1:$H$65536</definedName>
    <definedName name="mtl">'[18]A2 for above 3rd floor'!$G$74</definedName>
    <definedName name="nbnnnb">#REF!</definedName>
    <definedName name="new">'[21] analysis'!$J$64</definedName>
    <definedName name="NEWR">'[21] analysis'!$J$64</definedName>
    <definedName name="nnbnbnbnbc">#REF!</definedName>
    <definedName name="nnnnc">#REF!</definedName>
    <definedName name="nnnnnn">'[1]05 Ar &amp; St'!#REF!</definedName>
    <definedName name="Num_Pmt_Per_Year" localSheetId="4">#REF!</definedName>
    <definedName name="Num_Pmt_Per_Year">#REF!</definedName>
    <definedName name="Number_of_Payments" localSheetId="4">MATCH(0.01,End_Bal,-1)+1</definedName>
    <definedName name="Number_of_Payments">MATCH(0.01,End_Bal,-1)+1</definedName>
    <definedName name="nvnvnvnv">#REF!</definedName>
    <definedName name="pacific095136">#REF!</definedName>
    <definedName name="pacific095236">#REF!</definedName>
    <definedName name="paint">#REF!</definedName>
    <definedName name="Pay_Date">#REF!</definedName>
    <definedName name="Pay_Num">#REF!</definedName>
    <definedName name="Payment_Date" localSheetId="4">DATE(YEAR(Loan_Start),MONTH(Loan_Start)+Payment_Number,DAY(Loan_Start))</definedName>
    <definedName name="Payment_Date">DATE(YEAR(Loan_Start),MONTH(Loan_Start)+Payment_Number,DAY(Loan_Start))</definedName>
    <definedName name="photocell" localSheetId="4">#REF!</definedName>
    <definedName name="photocell">#REF!</definedName>
    <definedName name="plate_range" localSheetId="4">#REF!</definedName>
    <definedName name="plate_range">#REF!</definedName>
    <definedName name="Plates" localSheetId="4">#REF!</definedName>
    <definedName name="Plates">#REF!</definedName>
    <definedName name="pnt">'[18]A2 for above 3rd floor'!$G$134</definedName>
    <definedName name="po">#REF!</definedName>
    <definedName name="point">#REF!</definedName>
    <definedName name="POOOOOOOO">#REF!</definedName>
    <definedName name="poouuuuuuuuu">#REF!</definedName>
    <definedName name="potyyyy">#REF!</definedName>
    <definedName name="poweroutlet25a1p3x6">#REF!</definedName>
    <definedName name="poweroutlet25a3p4x6">#REF!</definedName>
    <definedName name="prev_qty_sup">'[22] Ar &amp; St'!$H$1:$H$65536</definedName>
    <definedName name="prev_qy_sub">'[10]Sub Structure BC = 300'!$H$1:$H$65536</definedName>
    <definedName name="PrevAMTsb">'[1]05 Sub Structure BC = 300'!$K$1:$K$65536</definedName>
    <definedName name="PrevAMTspr">'[1]05 Ar &amp; St'!$K$1:$K$65536</definedName>
    <definedName name="PrevAmtSub2" localSheetId="4">#REF!</definedName>
    <definedName name="PrevAmtSub2">#REF!</definedName>
    <definedName name="preventorp1" localSheetId="4">#REF!</definedName>
    <definedName name="preventorp1">#REF!</definedName>
    <definedName name="preventorp2" localSheetId="4">#REF!</definedName>
    <definedName name="preventorp2">#REF!</definedName>
    <definedName name="preventorp3">#REF!</definedName>
    <definedName name="preventorp4">#REF!</definedName>
    <definedName name="prevqty2">#REF!</definedName>
    <definedName name="PrevQTYsb">'[1]05 Sub Structure BC = 300'!$H$1:$H$65536</definedName>
    <definedName name="PrevQTYsb2">#REF!</definedName>
    <definedName name="PrevQTYspr">'[1]05 Ar &amp; St'!$H$1:$H$65536</definedName>
    <definedName name="PrevQtysub2" localSheetId="4">#REF!</definedName>
    <definedName name="PrevQtysub2">#REF!</definedName>
    <definedName name="Princ" localSheetId="4">#REF!</definedName>
    <definedName name="Princ">#REF!</definedName>
    <definedName name="_xlnm.Print_Area" localSheetId="3">BOQ!$A$1:$F$181</definedName>
    <definedName name="_xlnm.Print_Area" localSheetId="0">'Cover Page'!$A$1:$J$42</definedName>
    <definedName name="_xlnm.Print_Area" localSheetId="1">'preamble to BOQ'!$A$1:$A$41</definedName>
    <definedName name="_xlnm.Print_Area" localSheetId="2">Summary!$A$1:$C$32</definedName>
    <definedName name="Print_Area_Reset" localSheetId="4">OFFSET(Full_Print,0,0,'TO-1'!Last_Row)</definedName>
    <definedName name="Print_Area_Reset">OFFSET(Full_Print,0,0,Last_Row)</definedName>
    <definedName name="_xlnm.Print_Titles" localSheetId="3">BOQ!$2:$2</definedName>
    <definedName name="ptli" localSheetId="4">#REF!</definedName>
    <definedName name="ptli">#REF!</definedName>
    <definedName name="pvcconductor1.5" localSheetId="4">#REF!</definedName>
    <definedName name="pvcconductor1.5">#REF!</definedName>
    <definedName name="pvcconductor10" localSheetId="4">#REF!</definedName>
    <definedName name="pvcconductor10">#REF!</definedName>
    <definedName name="pvcconductor16">#REF!</definedName>
    <definedName name="pvcconductor2.5">#REF!</definedName>
    <definedName name="pvcconductor25">#REF!</definedName>
    <definedName name="pvcconductor4">#REF!</definedName>
    <definedName name="pvcconductor6">#REF!</definedName>
    <definedName name="Q">#REF!</definedName>
    <definedName name="rahel">#REF!</definedName>
    <definedName name="Ratesb">'[1]05 Sub Structure BC = 300'!$E$1:$E$65536</definedName>
    <definedName name="Ratesp">'[1]05 Ar &amp; St'!$E$1:$E$65536</definedName>
    <definedName name="RB">'[9]Supr Rebar'!$I:$I</definedName>
    <definedName name="Rbar1">'[3]RHS and Lattice purline A-2'!$I$1:$I$65536</definedName>
    <definedName name="Rbr">'[13]Sub-Structure Rein'!$I$1:$I$65536</definedName>
    <definedName name="rei">#REF!</definedName>
    <definedName name="rende">#REF!</definedName>
    <definedName name="Reside">#REF!</definedName>
    <definedName name="rf">'[18]A2 for above 3rd floor'!$G$49</definedName>
    <definedName name="RFT">'[1]05 Ar &amp; St'!#REF!</definedName>
    <definedName name="rhsprofile" localSheetId="4">#REF!</definedName>
    <definedName name="rhsprofile">#REF!</definedName>
    <definedName name="roofing_range">[10]Roofing!$A$1:$F$65536</definedName>
    <definedName name="Roofing_total" localSheetId="4">#REF!</definedName>
    <definedName name="Roofing_total">#REF!</definedName>
    <definedName name="s" localSheetId="4">#REF!</definedName>
    <definedName name="s">#REF!</definedName>
    <definedName name="SALI_REMOTE" localSheetId="4">#REF!</definedName>
    <definedName name="SALI_REMOTE">#REF!</definedName>
    <definedName name="sat_tv_fm">#REF!</definedName>
    <definedName name="sat_tv_fm_l">#REF!</definedName>
    <definedName name="sat_tv_fm_t">#REF!</definedName>
    <definedName name="sbgslbg">#REF!</definedName>
    <definedName name="SbØ12">'[23]SUB ST'!$L$593</definedName>
    <definedName name="SbØ14">'[23]SUB ST'!$M$593</definedName>
    <definedName name="SbØ16">'[23]SUB ST'!$N$593</definedName>
    <definedName name="SbØ20">'[23]SUB ST'!$O$593</definedName>
    <definedName name="SbØ24">'[23]SUB ST'!$P$593</definedName>
    <definedName name="SBQTY" localSheetId="4">#REF!</definedName>
    <definedName name="SBQTY">#REF!</definedName>
    <definedName name="Sched_Pay" localSheetId="4">#REF!</definedName>
    <definedName name="Sched_Pay">#REF!</definedName>
    <definedName name="Scheduled_Extra_Payments" localSheetId="4">#REF!</definedName>
    <definedName name="Scheduled_Extra_Payments">#REF!</definedName>
    <definedName name="Scheduled_Interest_Rate">#REF!</definedName>
    <definedName name="Scheduled_Monthly_Payment">#REF!</definedName>
    <definedName name="screed">#REF!</definedName>
    <definedName name="sene">#REF!</definedName>
    <definedName name="SERVICE">#REF!</definedName>
    <definedName name="sfa">'[24]05 A-2 300kp Shop Sup St.'!$A$1:$F$65536</definedName>
    <definedName name="sfgasg" localSheetId="4">#REF!</definedName>
    <definedName name="sfgasg">#REF!</definedName>
    <definedName name="sFlr">'[25]05 RB A-2 300kp Shop Sub St.'!$G$1:$G$65536</definedName>
    <definedName name="singleswitch" localSheetId="4">#REF!</definedName>
    <definedName name="singleswitch">#REF!</definedName>
    <definedName name="singleswitchwp" localSheetId="4">#REF!</definedName>
    <definedName name="singleswitchwp">#REF!</definedName>
    <definedName name="sinto" localSheetId="4">#REF!</definedName>
    <definedName name="sinto">#REF!</definedName>
    <definedName name="sMbr">'[25]05 RB A-2 300kp Shop Sub St.'!$H$1:$H$65536</definedName>
    <definedName name="socket10a1p" localSheetId="4">#REF!</definedName>
    <definedName name="socket10a1p">#REF!</definedName>
    <definedName name="socket16a1p" localSheetId="4">#REF!</definedName>
    <definedName name="socket16a1p">#REF!</definedName>
    <definedName name="SOCKET16A3P" localSheetId="4">#REF!</definedName>
    <definedName name="SOCKET16A3P">#REF!</definedName>
    <definedName name="socket16a3x4">#REF!</definedName>
    <definedName name="SOCKET20A1P">#REF!</definedName>
    <definedName name="socketoutlet_schucko">#REF!</definedName>
    <definedName name="socketwithswitch16a1p">#REF!</definedName>
    <definedName name="socketwp10a1p">#REF!</definedName>
    <definedName name="spblk">'[18]A2 for above 3rd floor'!$G$41</definedName>
    <definedName name="spco">'[18]A2 for above 3rd floor'!$G$31</definedName>
    <definedName name="SPECIFICATION">#REF!</definedName>
    <definedName name="SpØ10">'[23]SUPER ST'!$L$2388</definedName>
    <definedName name="SpØ12">'[23]SUPER ST'!$M$2388</definedName>
    <definedName name="SpØ14">'[23]SUPER ST'!$N$2388</definedName>
    <definedName name="SpØ16">'[13]Super-Structure Rein'!$P$227</definedName>
    <definedName name="SpØ20">'[13]Super-Structure Rein'!$Q$227</definedName>
    <definedName name="SpØ24">'[13]Super-Structure Rein'!$R$227</definedName>
    <definedName name="SpØ6">'[23]SUPER ST'!$J$2388</definedName>
    <definedName name="SpØ8">'[23]SUPER ST'!$K$2388</definedName>
    <definedName name="SprQTY" localSheetId="4">#REF!</definedName>
    <definedName name="SprQTY">#REF!</definedName>
    <definedName name="srgas" localSheetId="4">#REF!</definedName>
    <definedName name="srgas">#REF!</definedName>
    <definedName name="ss" localSheetId="4">'[1]05 RB A-2 300kp Res. Sub St.'!#REF!</definedName>
    <definedName name="ss">'[1]05 RB A-2 300kp Res. Sub St.'!#REF!</definedName>
    <definedName name="ss." localSheetId="4">#REF!</definedName>
    <definedName name="ss.">#REF!</definedName>
    <definedName name="sshgyighjkuhv" localSheetId="4">#REF!</definedName>
    <definedName name="sshgyighjkuhv">#REF!</definedName>
    <definedName name="ssss">#REF!</definedName>
    <definedName name="ssssss">'[1]05 Ar &amp; St'!#REF!</definedName>
    <definedName name="ssssssssssssssssssssssssssssssssssssssssssssss" localSheetId="4">#REF!</definedName>
    <definedName name="ssssssssssssssssssssssssssssssssssssssssssssss">#REF!</definedName>
    <definedName name="staf" localSheetId="4">#REF!</definedName>
    <definedName name="staf">#REF!</definedName>
    <definedName name="staircasetimerswitch" localSheetId="4">#REF!</definedName>
    <definedName name="staircasetimerswitch">#REF!</definedName>
    <definedName name="steelmast20">#REF!</definedName>
    <definedName name="steelpole12">#REF!</definedName>
    <definedName name="steelpole3">#REF!</definedName>
    <definedName name="steelpole6">#REF!</definedName>
    <definedName name="steelpole9">#REF!</definedName>
    <definedName name="Stirupp_Info">#REF!</definedName>
    <definedName name="Stl_Truss">'[13]T-OFF'!$A$1:$F$65536</definedName>
    <definedName name="Str_Steel_Work">'[1]05 Ar &amp; St'!#REF!</definedName>
    <definedName name="stralstl">'[18]A2 for above 3rd floor'!$G$103</definedName>
    <definedName name="Structural_steel_work">#REF!</definedName>
    <definedName name="Structural_steel_work_total">'[8] Ar &amp; St'!$M$77</definedName>
    <definedName name="strutural_steel_total">'[26]08 Ar &amp; St'!$M$23</definedName>
    <definedName name="sub" localSheetId="4">#REF!</definedName>
    <definedName name="sub">#REF!</definedName>
    <definedName name="Sub_Concrete" localSheetId="4">#REF!</definedName>
    <definedName name="Sub_Concrete">#REF!</definedName>
    <definedName name="Sub_Concrete_Work">'[1]05 Sub Structure BC = 300'!$M$57</definedName>
    <definedName name="Sub_Structure">'[1]05 Summary'!$E$21</definedName>
    <definedName name="subdia">'[27]RB E-1 300kp SHOP. Sub St.'!$D$1:$D$65536</definedName>
    <definedName name="sum" localSheetId="4">#REF!</definedName>
    <definedName name="sum">#REF!</definedName>
    <definedName name="Sum?" localSheetId="4">#REF!</definedName>
    <definedName name="Sum?">#REF!</definedName>
    <definedName name="super">'[1]05 A-2 300kp Sup St.'!$A$1:$F$65536</definedName>
    <definedName name="Super_concrete_range">'[10]E-1 300kp Res. Sup St.'!$A$1:$F$65536</definedName>
    <definedName name="Super_Concrete_Work">'[1]05 Ar &amp; St'!$M$40</definedName>
    <definedName name="super_qty_range">'[5]E-1 200kp  Sup St.'!$A$1:$F$65536</definedName>
    <definedName name="Super_Structure">'[1]05 Summary'!$E$37</definedName>
    <definedName name="supper" localSheetId="4">#REF!</definedName>
    <definedName name="supper">#REF!</definedName>
    <definedName name="surfacepanel12acb" localSheetId="4">#REF!</definedName>
    <definedName name="surfacepanel12acb">#REF!</definedName>
    <definedName name="surfacepanel24acb" localSheetId="4">#REF!</definedName>
    <definedName name="surfacepanel24acb">#REF!</definedName>
    <definedName name="surfacepanel36acb">#REF!</definedName>
    <definedName name="surfacepanel8acb">#REF!</definedName>
    <definedName name="surgearrester_40">#REF!</definedName>
    <definedName name="surgearrester_70">#REF!</definedName>
    <definedName name="surv">#REF!</definedName>
    <definedName name="SURVICE">#REF!</definedName>
    <definedName name="t">#REF!</definedName>
    <definedName name="tcs058136il">#REF!</definedName>
    <definedName name="tcs058136io">#REF!</definedName>
    <definedName name="tcs058136ip">#REF!</definedName>
    <definedName name="tcs058236dl">#REF!</definedName>
    <definedName name="tcs058236do">#REF!</definedName>
    <definedName name="tcs058236dp">#REF!</definedName>
    <definedName name="TECHN" localSheetId="4">#REF!</definedName>
    <definedName name="TECHN">#N/A</definedName>
    <definedName name="tel" localSheetId="4">#REF!</definedName>
    <definedName name="tel">#REF!</definedName>
    <definedName name="telephonepoint" localSheetId="4">#REF!</definedName>
    <definedName name="telephonepoint">#REF!</definedName>
    <definedName name="Test">'[1]05 Summary'!$E$14</definedName>
    <definedName name="testclamp25x3" localSheetId="4">#REF!</definedName>
    <definedName name="testclamp25x3">#REF!</definedName>
    <definedName name="testclamp5070" localSheetId="4">#REF!</definedName>
    <definedName name="testclamp5070">#REF!</definedName>
    <definedName name="Three_H_A_2" localSheetId="4">'[28]Solomon Weldu A2,E1-FevV'!#REF!</definedName>
    <definedName name="Three_H_A_2">'[28]Solomon Weldu A2,E1-FevV'!#REF!</definedName>
    <definedName name="timerswitch" localSheetId="4">#REF!</definedName>
    <definedName name="timerswitch">#REF!</definedName>
    <definedName name="tms136gdl140" localSheetId="4">#REF!</definedName>
    <definedName name="tms136gdl140">#REF!</definedName>
    <definedName name="tms136gkd140" localSheetId="4">#REF!</definedName>
    <definedName name="tms136gkd140">#REF!</definedName>
    <definedName name="tms236gkh240">#REF!</definedName>
    <definedName name="TodateQTYspr">'[1]05 Ar &amp; St'!$J$1:$J$65536</definedName>
    <definedName name="Total">'[13]Sub-Structure Rein'!$J$1:$J$65536</definedName>
    <definedName name="Total_block_work">#REF!</definedName>
    <definedName name="Total_Interest">#REF!</definedName>
    <definedName name="Total_Pay">#REF!</definedName>
    <definedName name="Total_Structural_Steel_Work">'[29]06 to 08 Ar &amp; St'!$M$69</definedName>
    <definedName name="Total_summary" localSheetId="4">#REF!</definedName>
    <definedName name="Total_summary">#REF!</definedName>
    <definedName name="total1">'[3]RHS and Lattice purline A-2'!$J$1:$J$65536</definedName>
    <definedName name="total2">'[4] L -1  sub R-bar for 200Kpa '!$J$1:$J$65536</definedName>
    <definedName name="TotalBridges10">'[30]Bills of Quantities'!#REF!</definedName>
    <definedName name="TotalBridges11">'[30]Bills of Quantities'!#REF!</definedName>
    <definedName name="TotalBridges12">'[30]Bills of Quantities'!#REF!</definedName>
    <definedName name="TotalBridges13">'[30]Bills of Quantities'!#REF!</definedName>
    <definedName name="TotalBridges14">'[30]Bills of Quantities'!#REF!</definedName>
    <definedName name="TotalBridges15">'[30]Bills of Quantities'!#REF!</definedName>
    <definedName name="TotalBridges16">'[30]Bills of Quantities'!#REF!</definedName>
    <definedName name="TotalBridges2">'[30]Bills of Quantities'!$O$126</definedName>
    <definedName name="TotalBridges3">'[30]Bills of Quantities'!#REF!</definedName>
    <definedName name="TotalBridges4">'[30]Bills of Quantities'!#REF!</definedName>
    <definedName name="TotalBridges5">'[30]Bills of Quantities'!#REF!</definedName>
    <definedName name="TotalBridges6">'[30]Bills of Quantities'!#REF!</definedName>
    <definedName name="TotalBridges7">'[30]Bills of Quantities'!#REF!</definedName>
    <definedName name="TotalBridges8">'[30]Bills of Quantities'!#REF!</definedName>
    <definedName name="TotalBridges9">'[30]Bills of Quantities'!#REF!</definedName>
    <definedName name="TotalDayworks2" localSheetId="4">#REF!</definedName>
    <definedName name="TotalDayworks2">#REF!</definedName>
    <definedName name="TotalEarthworks10">'[30]Bills of Quantities'!#REF!</definedName>
    <definedName name="TotalEarthworks11">'[30]Bills of Quantities'!#REF!</definedName>
    <definedName name="TotalEarthworks12">'[30]Bills of Quantities'!#REF!</definedName>
    <definedName name="TotalEarthworks13">'[30]Bills of Quantities'!#REF!</definedName>
    <definedName name="TotalEarthworks14">'[30]Bills of Quantities'!#REF!</definedName>
    <definedName name="TotalEarthworks15">'[30]Bills of Quantities'!#REF!</definedName>
    <definedName name="TotalEarthworks16">'[30]Bills of Quantities'!#REF!</definedName>
    <definedName name="TotalEarthworks2">'[30]Bills of Quantities'!$O$17</definedName>
    <definedName name="TotalEarthworks3">'[30]Bills of Quantities'!#REF!</definedName>
    <definedName name="TotalEarthworks4">'[30]Bills of Quantities'!#REF!</definedName>
    <definedName name="TotalEarthworks5">'[30]Bills of Quantities'!#REF!</definedName>
    <definedName name="TotalEarthworks6">'[30]Bills of Quantities'!#REF!</definedName>
    <definedName name="TotalEarthworks7">'[30]Bills of Quantities'!#REF!</definedName>
    <definedName name="TotalEarthworks8">'[30]Bills of Quantities'!#REF!</definedName>
    <definedName name="TotalEarthworks9">'[30]Bills of Quantities'!#REF!</definedName>
    <definedName name="TotalIncidentals10">'[30]Bills of Quantities'!#REF!</definedName>
    <definedName name="TotalIncidentals11">'[30]Bills of Quantities'!#REF!</definedName>
    <definedName name="TotalIncidentals12">'[30]Bills of Quantities'!#REF!</definedName>
    <definedName name="TotalIncidentals13">'[30]Bills of Quantities'!#REF!</definedName>
    <definedName name="TotalIncidentals14">'[30]Bills of Quantities'!#REF!</definedName>
    <definedName name="TotalIncidentals15">'[30]Bills of Quantities'!#REF!</definedName>
    <definedName name="TotalIncidentals16">'[30]Bills of Quantities'!#REF!</definedName>
    <definedName name="TotalIncidentals2">'[30]Bills of Quantities'!$O$151</definedName>
    <definedName name="TotalIncidentals3">'[30]Bills of Quantities'!#REF!</definedName>
    <definedName name="TotalIncidentals4">'[30]Bills of Quantities'!#REF!</definedName>
    <definedName name="TotalIncidentals5">'[30]Bills of Quantities'!#REF!</definedName>
    <definedName name="TotalIncidentals6">'[30]Bills of Quantities'!#REF!</definedName>
    <definedName name="TotalIncidentals7">'[30]Bills of Quantities'!#REF!</definedName>
    <definedName name="TotalIncidentals8">'[30]Bills of Quantities'!#REF!</definedName>
    <definedName name="TotalIncidentals9">'[30]Bills of Quantities'!#REF!</definedName>
    <definedName name="TotalMisc10">'[30]Bills of Quantities'!#REF!</definedName>
    <definedName name="TotalMisc11">'[30]Bills of Quantities'!#REF!</definedName>
    <definedName name="TotalMisc12">'[30]Bills of Quantities'!#REF!</definedName>
    <definedName name="TotalMisc13">'[30]Bills of Quantities'!#REF!</definedName>
    <definedName name="TotalMisc14">'[30]Bills of Quantities'!#REF!</definedName>
    <definedName name="TotalMisc15">'[30]Bills of Quantities'!#REF!</definedName>
    <definedName name="TotalMisc16">'[30]Bills of Quantities'!#REF!</definedName>
    <definedName name="TotalMisc2">'[30]Bills of Quantities'!$O$201</definedName>
    <definedName name="TotalMisc3">'[30]Bills of Quantities'!#REF!</definedName>
    <definedName name="TotalMisc4">'[30]Bills of Quantities'!#REF!</definedName>
    <definedName name="TotalMisc5">'[30]Bills of Quantities'!#REF!</definedName>
    <definedName name="TotalMisc6">'[30]Bills of Quantities'!#REF!</definedName>
    <definedName name="TotalMisc7">'[30]Bills of Quantities'!#REF!</definedName>
    <definedName name="TotalMisc8">'[30]Bills of Quantities'!#REF!</definedName>
    <definedName name="TotalMisc9">'[30]Bills of Quantities'!#REF!</definedName>
    <definedName name="TotalPavements10">'[30]Bills of Quantities'!#REF!</definedName>
    <definedName name="TotalPavements11">'[30]Bills of Quantities'!#REF!</definedName>
    <definedName name="TotalPavements12">'[30]Bills of Quantities'!#REF!</definedName>
    <definedName name="TotalPavements13">'[30]Bills of Quantities'!#REF!</definedName>
    <definedName name="TotalPavements14">'[30]Bills of Quantities'!#REF!</definedName>
    <definedName name="TotalPavements15">'[30]Bills of Quantities'!#REF!</definedName>
    <definedName name="TotalPavements16">'[30]Bills of Quantities'!#REF!</definedName>
    <definedName name="TotalPavements2">'[30]Bills of Quantities'!$O$30</definedName>
    <definedName name="TotalPavements3">'[30]Bills of Quantities'!#REF!</definedName>
    <definedName name="TotalPavements4">'[30]Bills of Quantities'!#REF!</definedName>
    <definedName name="TotalPavements5">'[30]Bills of Quantities'!#REF!</definedName>
    <definedName name="TotalPavements6">'[30]Bills of Quantities'!#REF!</definedName>
    <definedName name="TotalPavements7">'[30]Bills of Quantities'!#REF!</definedName>
    <definedName name="TotalPavements8">'[30]Bills of Quantities'!#REF!</definedName>
    <definedName name="TotalPavements9">'[30]Bills of Quantities'!#REF!</definedName>
    <definedName name="TotalStructures10">'[30]Bills of Quantities'!#REF!</definedName>
    <definedName name="TotalStructures11">'[30]Bills of Quantities'!#REF!</definedName>
    <definedName name="TotalStructures12">'[30]Bills of Quantities'!#REF!</definedName>
    <definedName name="TotalStructures13">'[30]Bills of Quantities'!#REF!</definedName>
    <definedName name="TotalStructures14">'[30]Bills of Quantities'!#REF!</definedName>
    <definedName name="TotalStructures15">'[30]Bills of Quantities'!#REF!</definedName>
    <definedName name="TotalStructures16">'[30]Bills of Quantities'!#REF!</definedName>
    <definedName name="TotalStructures2">'[30]Bills of Quantities'!$O$89</definedName>
    <definedName name="TotalStructures3">'[30]Bills of Quantities'!#REF!</definedName>
    <definedName name="TotalStructures4">'[30]Bills of Quantities'!#REF!</definedName>
    <definedName name="TotalStructures5">'[30]Bills of Quantities'!#REF!</definedName>
    <definedName name="TotalStructures6">'[30]Bills of Quantities'!#REF!</definedName>
    <definedName name="TotalStructures7">'[30]Bills of Quantities'!#REF!</definedName>
    <definedName name="TotalStructures8">'[30]Bills of Quantities'!#REF!</definedName>
    <definedName name="TotalStructures9">'[30]Bills of Quantities'!#REF!</definedName>
    <definedName name="TR" localSheetId="4">#REF!</definedName>
    <definedName name="TR">#N/A</definedName>
    <definedName name="TTL">'[9]Supr Rebar'!$J:$J</definedName>
    <definedName name="tv">#REF!</definedName>
    <definedName name="tvaerial10element">#REF!</definedName>
    <definedName name="tvoutletloopthrough">#REF!</definedName>
    <definedName name="tvoutletterminal">#REF!</definedName>
    <definedName name="tvpoint">#REF!</definedName>
    <definedName name="Twenty_Five_H_A_2">'[28]Solomon Weldu A2,E1-FevV'!#REF!</definedName>
    <definedName name="Two_H" localSheetId="4">#REF!</definedName>
    <definedName name="Two_H">#REF!</definedName>
    <definedName name="Two_H_A_2">'[28]Solomon Weldu A2,E1-FevV'!#REF!</definedName>
    <definedName name="twowayswitch" localSheetId="4">#REF!</definedName>
    <definedName name="twowayswitch">#REF!</definedName>
    <definedName name="u" localSheetId="4">#REF!</definedName>
    <definedName name="u">#REF!</definedName>
    <definedName name="untprice" localSheetId="4">#REF!</definedName>
    <definedName name="untprice">#REF!</definedName>
    <definedName name="uuu">'[17]Block A Rebar'!$H$8:$H$66375</definedName>
    <definedName name="Values_Entered" localSheetId="4">IF(Loan_Amount*Interest_Rate*Loan_Years*Loan_Start&gt;0,1,0)</definedName>
    <definedName name="Values_Entered">IF(Loan_Amount*Interest_Rate*Loan_Years*Loan_Start&gt;0,1,0)</definedName>
    <definedName name="vcvcvzcb" localSheetId="4">#REF!</definedName>
    <definedName name="vcvcvzcb">#REF!</definedName>
    <definedName name="vDateTime" localSheetId="4">#REF!</definedName>
    <definedName name="vDateTime">#REF!</definedName>
    <definedName name="vDiastolic" localSheetId="4">#REF!</definedName>
    <definedName name="vDiastolic">#REF!</definedName>
    <definedName name="vfghdhhdh">#REF!</definedName>
    <definedName name="vHeartRate">#REF!</definedName>
    <definedName name="vibrationdetector">#REF!</definedName>
    <definedName name="vSystolic">#REF!</definedName>
    <definedName name="vvvvvvvv">#REF!</definedName>
    <definedName name="wallglobe">#REF!</definedName>
    <definedName name="wer">#REF!</definedName>
    <definedName name="Window_Door">'[13]Windows and Doors'!$A$23:$Y$40</definedName>
    <definedName name="Windows">'[13]Windows and Doors'!$A$12:$Y$21</definedName>
    <definedName name="WORK">[31]wa!$C$16:$I$17</definedName>
    <definedName name="WORK1">[31]wa!$C$16:$I$17</definedName>
    <definedName name="xbxbbxbx" localSheetId="4">#REF!</definedName>
    <definedName name="xbxbbxbx">#REF!</definedName>
    <definedName name="xCCc" localSheetId="4">#REF!</definedName>
    <definedName name="xCCc">#REF!</definedName>
    <definedName name="xczczc">'[32]Windows and Doors'!$A$5:$Y$10</definedName>
    <definedName name="xxx" localSheetId="4">#REF!</definedName>
    <definedName name="xxx">#REF!</definedName>
    <definedName name="xxxxbx" localSheetId="4">#REF!</definedName>
    <definedName name="xxxxbx">#REF!</definedName>
    <definedName name="yyyyyy" localSheetId="4">#REF!</definedName>
    <definedName name="yyyyyy">#REF!</definedName>
    <definedName name="z">#REF!</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80" i="20" l="1"/>
  <c r="F179" i="20"/>
  <c r="F181" i="20" s="1"/>
  <c r="C14" i="21" s="1"/>
  <c r="D88" i="20" l="1"/>
  <c r="D87" i="20"/>
  <c r="D86" i="20"/>
  <c r="D85" i="20"/>
  <c r="D84" i="20"/>
  <c r="F85" i="20" l="1"/>
  <c r="F87" i="20"/>
  <c r="F84" i="20"/>
  <c r="D175" i="20" l="1"/>
  <c r="F150" i="20" l="1"/>
  <c r="F151" i="20"/>
  <c r="F152" i="20"/>
  <c r="F71" i="20"/>
  <c r="F70" i="20"/>
  <c r="F69" i="20"/>
  <c r="F68" i="20"/>
  <c r="F67" i="20"/>
  <c r="F66" i="20"/>
  <c r="F65" i="20"/>
  <c r="F64" i="20"/>
  <c r="F63" i="20"/>
  <c r="F62" i="20"/>
  <c r="F61" i="20"/>
  <c r="F60" i="20"/>
  <c r="F59" i="20"/>
  <c r="F58" i="20"/>
  <c r="F57" i="20"/>
  <c r="F56" i="20"/>
  <c r="F54" i="20"/>
  <c r="F53" i="20"/>
  <c r="F52" i="20"/>
  <c r="F47" i="20"/>
  <c r="F46" i="20"/>
  <c r="F45" i="20"/>
  <c r="F44" i="20"/>
  <c r="F43" i="20"/>
  <c r="F42" i="20"/>
  <c r="F41" i="20"/>
  <c r="F40" i="20"/>
  <c r="F39" i="20"/>
  <c r="F38" i="20"/>
  <c r="F37" i="20"/>
  <c r="F81" i="20"/>
  <c r="F80" i="20"/>
  <c r="F78" i="20"/>
  <c r="F77" i="20"/>
  <c r="F73" i="20"/>
  <c r="F51" i="20"/>
  <c r="F50" i="20"/>
  <c r="F49" i="20"/>
  <c r="F36" i="20"/>
  <c r="F35" i="20"/>
  <c r="D104" i="20"/>
  <c r="D103" i="20"/>
  <c r="F88" i="20"/>
  <c r="F86" i="20"/>
  <c r="F157" i="20"/>
  <c r="F160" i="20"/>
  <c r="F161" i="20"/>
  <c r="F162" i="20"/>
  <c r="F163" i="20"/>
  <c r="F164" i="20"/>
  <c r="F166" i="20"/>
  <c r="F167" i="20"/>
  <c r="F168" i="20"/>
  <c r="F170" i="20"/>
  <c r="F171" i="20"/>
  <c r="F156" i="20"/>
  <c r="F55" i="20"/>
  <c r="F123" i="20"/>
  <c r="D173" i="20"/>
  <c r="F173" i="20" s="1"/>
  <c r="D99" i="20"/>
  <c r="D126" i="20"/>
  <c r="D124" i="20"/>
  <c r="F89" i="20" l="1"/>
  <c r="C8" i="21" s="1"/>
  <c r="F124" i="20"/>
  <c r="F103" i="20"/>
  <c r="F126" i="20"/>
  <c r="F104" i="20"/>
  <c r="D108" i="20"/>
  <c r="D107" i="20"/>
  <c r="F107" i="20" s="1"/>
  <c r="F27" i="20"/>
  <c r="F146" i="20"/>
  <c r="C210" i="43" l="1"/>
  <c r="C211" i="43" s="1"/>
  <c r="D119" i="20" s="1"/>
  <c r="F119" i="20" s="1"/>
  <c r="C204" i="43"/>
  <c r="C205" i="43" s="1"/>
  <c r="D118" i="20" s="1"/>
  <c r="F118" i="20" s="1"/>
  <c r="C166" i="43"/>
  <c r="C163" i="43"/>
  <c r="C160" i="43"/>
  <c r="C157" i="43"/>
  <c r="C154" i="43"/>
  <c r="C151" i="43"/>
  <c r="C148" i="43"/>
  <c r="C145" i="43"/>
  <c r="C142" i="43"/>
  <c r="C139" i="43"/>
  <c r="C136" i="43"/>
  <c r="C133" i="43"/>
  <c r="C130" i="43"/>
  <c r="C127" i="43"/>
  <c r="C124" i="43"/>
  <c r="C121" i="43"/>
  <c r="C118" i="43"/>
  <c r="C115" i="43"/>
  <c r="C112" i="43"/>
  <c r="C109" i="43"/>
  <c r="C106" i="43"/>
  <c r="C103" i="43"/>
  <c r="C100" i="43"/>
  <c r="C97" i="43"/>
  <c r="C94" i="43"/>
  <c r="C91" i="43"/>
  <c r="F175" i="20"/>
  <c r="F19" i="20"/>
  <c r="D13" i="20"/>
  <c r="F13" i="20" s="1"/>
  <c r="D12" i="20"/>
  <c r="F12" i="20" s="1"/>
  <c r="C301" i="43"/>
  <c r="C303" i="43"/>
  <c r="C299" i="43"/>
  <c r="C297" i="43"/>
  <c r="C289" i="43"/>
  <c r="C287" i="43"/>
  <c r="C291" i="43"/>
  <c r="F18" i="20"/>
  <c r="D11" i="20"/>
  <c r="F11" i="20" s="1"/>
  <c r="D174" i="20"/>
  <c r="F174" i="20" s="1"/>
  <c r="C275" i="43"/>
  <c r="C277" i="43" s="1"/>
  <c r="F16" i="20"/>
  <c r="D10" i="20"/>
  <c r="F10" i="20" s="1"/>
  <c r="C269" i="43"/>
  <c r="C267" i="43"/>
  <c r="F17" i="20"/>
  <c r="C281" i="43"/>
  <c r="C283" i="43" s="1"/>
  <c r="D15" i="20"/>
  <c r="C252" i="43"/>
  <c r="D101" i="20" s="1"/>
  <c r="F101" i="20" s="1"/>
  <c r="F93" i="20"/>
  <c r="D106" i="20"/>
  <c r="F106" i="20" s="1"/>
  <c r="C183" i="43"/>
  <c r="C180" i="43"/>
  <c r="C177" i="43"/>
  <c r="C174" i="43"/>
  <c r="C171" i="43"/>
  <c r="F176" i="20" l="1"/>
  <c r="C13" i="21" s="1"/>
  <c r="F15" i="20"/>
  <c r="D7" i="20"/>
  <c r="C271" i="43"/>
  <c r="C293" i="43"/>
  <c r="C167" i="43"/>
  <c r="D114" i="20" s="1"/>
  <c r="F114" i="20" s="1"/>
  <c r="C305" i="43"/>
  <c r="C184" i="43"/>
  <c r="D115" i="20" s="1"/>
  <c r="F115" i="20" s="1"/>
  <c r="F144" i="20"/>
  <c r="C76" i="43"/>
  <c r="C73" i="43"/>
  <c r="C70" i="43"/>
  <c r="C67" i="43"/>
  <c r="C64" i="43"/>
  <c r="C61" i="43"/>
  <c r="C79" i="43"/>
  <c r="C58" i="43"/>
  <c r="C55" i="43"/>
  <c r="C52" i="43"/>
  <c r="C49" i="43"/>
  <c r="C35" i="43"/>
  <c r="C31" i="43"/>
  <c r="C28" i="43"/>
  <c r="C25" i="43"/>
  <c r="C22" i="43"/>
  <c r="C19" i="43"/>
  <c r="C16" i="43"/>
  <c r="C13" i="43"/>
  <c r="C199" i="43"/>
  <c r="C196" i="43"/>
  <c r="C193" i="43"/>
  <c r="C190" i="43"/>
  <c r="F149" i="20"/>
  <c r="F143" i="20"/>
  <c r="C242" i="43"/>
  <c r="C239" i="43"/>
  <c r="C236" i="43"/>
  <c r="C233" i="43"/>
  <c r="C216" i="43"/>
  <c r="C5" i="43"/>
  <c r="C6" i="43" s="1"/>
  <c r="D94" i="20" s="1"/>
  <c r="D132" i="20"/>
  <c r="F132" i="20" s="1"/>
  <c r="D133" i="20"/>
  <c r="F133" i="20" s="1"/>
  <c r="F134" i="20" l="1"/>
  <c r="C11" i="21" s="1"/>
  <c r="D25" i="20"/>
  <c r="C200" i="43"/>
  <c r="D117" i="20" s="1"/>
  <c r="F117" i="20" s="1"/>
  <c r="C36" i="43"/>
  <c r="D112" i="20" s="1"/>
  <c r="F112" i="20" s="1"/>
  <c r="C243" i="43"/>
  <c r="D128" i="20" s="1"/>
  <c r="F128" i="20" s="1"/>
  <c r="C227" i="43"/>
  <c r="C217" i="43"/>
  <c r="D120" i="20" s="1"/>
  <c r="F120" i="20" s="1"/>
  <c r="F26" i="20" l="1"/>
  <c r="F25" i="20"/>
  <c r="F24" i="20"/>
  <c r="C85" i="43"/>
  <c r="C82" i="43"/>
  <c r="C46" i="43"/>
  <c r="C43" i="43"/>
  <c r="C40" i="43"/>
  <c r="C259" i="43"/>
  <c r="D97" i="20" s="1"/>
  <c r="F145" i="20"/>
  <c r="F139" i="20"/>
  <c r="F153" i="20" l="1"/>
  <c r="C12" i="21" s="1"/>
  <c r="C86" i="43"/>
  <c r="D113" i="20" s="1"/>
  <c r="F113" i="20" s="1"/>
  <c r="F129" i="20" s="1"/>
  <c r="C10" i="21" s="1"/>
  <c r="F14" i="20"/>
  <c r="F7" i="20"/>
  <c r="F20" i="20" l="1"/>
  <c r="C6" i="21" s="1"/>
  <c r="F108" i="20"/>
  <c r="F94" i="20" l="1"/>
  <c r="F97" i="20" l="1"/>
  <c r="F99" i="20"/>
  <c r="F109" i="20" l="1"/>
  <c r="C9" i="21" s="1"/>
  <c r="F28" i="20" l="1"/>
  <c r="F29" i="20" s="1"/>
  <c r="C7" i="21" s="1"/>
  <c r="C15" i="21" s="1"/>
  <c r="C63" i="29" l="1"/>
  <c r="D63" i="29"/>
  <c r="H63" i="29"/>
  <c r="F58" i="29"/>
  <c r="G58" i="29"/>
  <c r="B58" i="29"/>
  <c r="G62" i="29"/>
  <c r="F62" i="29"/>
  <c r="B62" i="29"/>
  <c r="G61" i="29"/>
  <c r="B61" i="29"/>
  <c r="F61" i="29"/>
  <c r="G60" i="29"/>
  <c r="F60" i="29"/>
  <c r="B60" i="29"/>
  <c r="G59" i="29"/>
  <c r="B59" i="29"/>
  <c r="F57" i="29"/>
  <c r="G57" i="29"/>
  <c r="B57" i="29"/>
  <c r="F56" i="29"/>
  <c r="G56" i="29"/>
  <c r="B56" i="29"/>
  <c r="F55" i="29"/>
  <c r="G55" i="29"/>
  <c r="B55" i="29"/>
  <c r="F54" i="29"/>
  <c r="G54" i="29"/>
  <c r="B54" i="29"/>
  <c r="B53" i="29"/>
  <c r="B52" i="29"/>
  <c r="F53" i="29"/>
  <c r="G53" i="29"/>
  <c r="G52" i="29"/>
  <c r="B51" i="29"/>
  <c r="G51" i="29"/>
  <c r="G49" i="29"/>
  <c r="F49" i="29"/>
  <c r="B49" i="29"/>
  <c r="G48" i="29"/>
  <c r="F48" i="29"/>
  <c r="B48" i="29"/>
  <c r="G47" i="29"/>
  <c r="F47" i="29"/>
  <c r="B47" i="29"/>
  <c r="G46" i="29"/>
  <c r="F46" i="29"/>
  <c r="E46" i="29"/>
  <c r="B46" i="29"/>
  <c r="G45" i="29"/>
  <c r="F45" i="29"/>
  <c r="B45" i="29"/>
  <c r="G44" i="29"/>
  <c r="F44" i="29"/>
  <c r="B44" i="29"/>
  <c r="G43" i="29"/>
  <c r="F43" i="29"/>
  <c r="B43" i="29"/>
  <c r="F42" i="29"/>
  <c r="E42" i="29"/>
  <c r="B42" i="29"/>
  <c r="G41" i="29"/>
  <c r="F41" i="29"/>
  <c r="B41" i="29"/>
  <c r="G40" i="29"/>
  <c r="F40" i="29"/>
  <c r="B40" i="29"/>
  <c r="G39" i="29"/>
  <c r="F39" i="29"/>
  <c r="B39" i="29"/>
  <c r="G38" i="29"/>
  <c r="F38" i="29"/>
  <c r="B38" i="29"/>
  <c r="G37" i="29"/>
  <c r="F37" i="29"/>
  <c r="B37" i="29"/>
  <c r="G36" i="29"/>
  <c r="B36" i="29"/>
  <c r="G35" i="29"/>
  <c r="F35" i="29"/>
  <c r="B35" i="29"/>
  <c r="G34" i="29"/>
  <c r="B34" i="29"/>
  <c r="G33" i="29"/>
  <c r="F33" i="29"/>
  <c r="B33" i="29"/>
  <c r="G32" i="29"/>
  <c r="F32" i="29"/>
  <c r="B32" i="29"/>
  <c r="G30" i="29"/>
  <c r="F30" i="29"/>
  <c r="B30" i="29"/>
  <c r="G29" i="29"/>
  <c r="F29" i="29"/>
  <c r="B29" i="29"/>
  <c r="G28" i="29"/>
  <c r="F28" i="29"/>
  <c r="B28" i="29"/>
  <c r="G27" i="29"/>
  <c r="B27" i="29"/>
  <c r="G26" i="29"/>
  <c r="F26" i="29"/>
  <c r="B26" i="29"/>
  <c r="G25" i="29"/>
  <c r="F25" i="29"/>
  <c r="B25" i="29"/>
  <c r="G24" i="29"/>
  <c r="F24" i="29"/>
  <c r="B24" i="29"/>
  <c r="G23" i="29"/>
  <c r="F23" i="29"/>
  <c r="B23" i="29"/>
  <c r="G22" i="29"/>
  <c r="F22" i="29"/>
  <c r="B22" i="29"/>
  <c r="G21" i="29"/>
  <c r="F21" i="29"/>
  <c r="B21" i="29"/>
  <c r="G20" i="29"/>
  <c r="G63" i="29" s="1"/>
  <c r="F20" i="29"/>
  <c r="B20" i="29"/>
  <c r="F19" i="29"/>
  <c r="E19" i="29"/>
  <c r="B19" i="29"/>
  <c r="G18" i="29"/>
  <c r="F18" i="29"/>
  <c r="B18" i="29"/>
  <c r="F17" i="29"/>
  <c r="E17" i="29"/>
  <c r="B17" i="29"/>
  <c r="G16" i="29"/>
  <c r="F16" i="29"/>
  <c r="B16" i="29"/>
  <c r="E15" i="29"/>
  <c r="B15" i="29"/>
  <c r="F14" i="29"/>
  <c r="E14" i="29"/>
  <c r="B14" i="29"/>
  <c r="G13" i="29"/>
  <c r="F13" i="29"/>
  <c r="B13" i="29"/>
  <c r="E12" i="29"/>
  <c r="B12" i="29"/>
  <c r="E11" i="29"/>
  <c r="B11" i="29"/>
  <c r="E10" i="29"/>
  <c r="B10" i="29"/>
  <c r="E9" i="29"/>
  <c r="B9" i="29"/>
  <c r="E8" i="29"/>
  <c r="B8" i="29"/>
  <c r="E7" i="29"/>
  <c r="B7" i="29"/>
  <c r="E6" i="29"/>
  <c r="B6" i="29"/>
  <c r="E5" i="29"/>
  <c r="B5" i="29"/>
  <c r="E4" i="29"/>
  <c r="B4" i="29"/>
  <c r="E3" i="29"/>
  <c r="B3" i="29"/>
  <c r="E2" i="29"/>
  <c r="B2" i="29"/>
  <c r="F63" i="29" l="1"/>
  <c r="E63" i="29"/>
  <c r="B63" i="29"/>
  <c r="C16" i="21" l="1"/>
  <c r="C18" i="21" s="1"/>
</calcChain>
</file>

<file path=xl/sharedStrings.xml><?xml version="1.0" encoding="utf-8"?>
<sst xmlns="http://schemas.openxmlformats.org/spreadsheetml/2006/main" count="696" uniqueCount="467">
  <si>
    <t>ITEM</t>
  </si>
  <si>
    <t>DESCRIPTION</t>
  </si>
  <si>
    <t>UNIT</t>
  </si>
  <si>
    <t>QUANTITY</t>
  </si>
  <si>
    <t>RATE</t>
  </si>
  <si>
    <t>m²</t>
  </si>
  <si>
    <t>SUMMARY OF PRICES</t>
  </si>
  <si>
    <t>Birr</t>
  </si>
  <si>
    <t>05</t>
  </si>
  <si>
    <t>Lm</t>
  </si>
  <si>
    <t>WALL AND FLOOR FINISHINGS</t>
  </si>
  <si>
    <t>PLASTERING &amp; POINTING</t>
  </si>
  <si>
    <t xml:space="preserve">Finishing work includes all surface pre cleaning, removal of mortar by chiseling, making good edges of columns and beams, preparation of grooves b/n surface where ever indicated, preparation and application of finish, polishing and cleaning after end of work.
</t>
  </si>
  <si>
    <t>Wall and floor finish</t>
  </si>
  <si>
    <t>SUB TOTAL FINISHING WORK ETH BIRR</t>
  </si>
  <si>
    <t>PAINTING</t>
  </si>
  <si>
    <t>SUB TOTAL PAINTING WORK ETH BIRR</t>
  </si>
  <si>
    <t>Bm 3</t>
  </si>
  <si>
    <t>BM 2</t>
  </si>
  <si>
    <t>Bm A</t>
  </si>
  <si>
    <t>BM B</t>
  </si>
  <si>
    <t>BM C</t>
  </si>
  <si>
    <t>BM D</t>
  </si>
  <si>
    <t>MB H</t>
  </si>
  <si>
    <t>BM F</t>
  </si>
  <si>
    <t>BM E</t>
  </si>
  <si>
    <t>BM G</t>
  </si>
  <si>
    <t>BM 1</t>
  </si>
  <si>
    <t>BM 4</t>
  </si>
  <si>
    <t>BM 3</t>
  </si>
  <si>
    <t>BM H</t>
  </si>
  <si>
    <t>BM 1 Arc</t>
  </si>
  <si>
    <t>BM 4 arc</t>
  </si>
  <si>
    <t>BM I'</t>
  </si>
  <si>
    <t>at elev 3, 8, 12</t>
  </si>
  <si>
    <t>BM E&amp;F</t>
  </si>
  <si>
    <t>BM A</t>
  </si>
  <si>
    <t>BM 1&amp;2 Arc</t>
  </si>
  <si>
    <t>TYP</t>
  </si>
  <si>
    <t>BM F&amp;G</t>
  </si>
  <si>
    <t>BM C&amp;I'</t>
  </si>
  <si>
    <t>Total</t>
  </si>
  <si>
    <t>CARPENTRY &amp; JOINERY</t>
  </si>
  <si>
    <t>SUB TOTAL CARPENTRY AND JOINERY WORK ETH BIRR</t>
  </si>
  <si>
    <r>
      <t>m</t>
    </r>
    <r>
      <rPr>
        <vertAlign val="superscript"/>
        <sz val="11"/>
        <rFont val="Calibri"/>
        <family val="2"/>
        <scheme val="minor"/>
      </rPr>
      <t>2</t>
    </r>
  </si>
  <si>
    <t>SERVICE SUM</t>
  </si>
  <si>
    <t>Description</t>
  </si>
  <si>
    <t>Carpentry and Ceiling Works</t>
  </si>
  <si>
    <t>15% VAT</t>
  </si>
  <si>
    <t>GRAND TOTAL</t>
  </si>
  <si>
    <t>Truss Work</t>
  </si>
  <si>
    <t>5.1</t>
  </si>
  <si>
    <t>5.1.1</t>
  </si>
  <si>
    <t>DOCTORS WITH AFRICA- CUAMM</t>
  </si>
  <si>
    <t>08</t>
  </si>
  <si>
    <t>8.1</t>
  </si>
  <si>
    <t>8.1.1</t>
  </si>
  <si>
    <t>8.2</t>
  </si>
  <si>
    <t>8.2.1</t>
  </si>
  <si>
    <t>SPECIFICATIONS AND BILL OF QUANTITIES WITH ENGINEERING ESTIMATE</t>
  </si>
  <si>
    <t>PROJECT:</t>
  </si>
  <si>
    <t>LOCATION:</t>
  </si>
  <si>
    <t xml:space="preserve">Prepared by:- Solomon Tesfay  </t>
  </si>
  <si>
    <t>OWNER:</t>
  </si>
  <si>
    <t>Preamble to the Bill of Quantities</t>
  </si>
  <si>
    <t>1.   The Bill of Quantities shall be read in conjunction with the Drawings and Technical Specifications.</t>
  </si>
  <si>
    <t>2.   The Bill of Quantities contains the following part Bills and Schedules:</t>
  </si>
  <si>
    <t>3. The Quantities given in the Bill of Quantities are estimated and provisional, and are given to provide a common basis for bidding. The estimated contract quantity of each item of works will be set at the time of contract signing. In addition to this the basis of payment will be the actual quantities of work ordered and carried out, as measured by the Contractor and verified by the Engineer and valued at the rates and prices bid in the priced Bill of Quantities, where applicable, and otherwise at such rates and prices as the Engineer may fix within the terms of the Contract.</t>
  </si>
  <si>
    <t>4.  The rates and prices bid in the priced Bill of Quantities shall, except insofar as it is otherwise provided under the Contract, include all Constructional Plant, Labor, supervision, materials, erection, maintenance, insurance, profit, taxes, and duties, together with all general risks, liabilities, and obligations set out or implied in the Contract.</t>
  </si>
  <si>
    <t>5. A rate or price shall be entered against each item in the priced Bill of Quantities, whether quantities are stated or not. The cost of Items against which the Contractor has failed to enter a rate or price shall be deemed to be covered by other rates and prices entered in the Bill of Quantities.</t>
  </si>
  <si>
    <t>6. The rates in this Bill of quantities shall consider all incidental works required to protect existing structures.</t>
  </si>
  <si>
    <t>7. Items associated with a priced item necessary for its satisfactory fixing shall be considered as included in the rate of the item.</t>
  </si>
  <si>
    <t>8. The rates given for Provisional Quantities (PQ) will be binding if the client decides to incorporate these works as additional works.</t>
  </si>
  <si>
    <t>9. The whole cost of complying with the provisions of the Contract shall be included in the Items provided in the priced Bill of Quantities, and where no Items are provided, the cost shall be deemed to be distributed among the rates and prices entered for the related Items of Work.</t>
  </si>
  <si>
    <t>10. The Overhead &amp; risk and the gross profit for variation orders will be 35% .</t>
  </si>
  <si>
    <t>11. General directions and descriptions of work and materials are not necessarily repeated nor summarized in the Bill of Quantities. References to the relevant sections of the contract documentation shall be made before entering prices against each item in the priced Bill of Quantities.</t>
  </si>
  <si>
    <t>12. The method of measurement of completed work for payment shall be in accordance with Standard Methods of Measurement ECPN-4.</t>
  </si>
  <si>
    <t>13. The Bill of Quantities contains items</t>
  </si>
  <si>
    <t>a.   Supplied and installed by the Prime contractor</t>
  </si>
  <si>
    <t>b.   Provisional Quantities Supplied and installed by the Prime contractor</t>
  </si>
  <si>
    <t>c.   Provisional Sum Items supplied by the Client  and installed by the Prime Contractor</t>
  </si>
  <si>
    <t>d.  Provisional Sum Items Supplied and installed by Nominated Sub-contractor</t>
  </si>
  <si>
    <t>14. Provisional Sums included and so designated in the Bill of Quantities shall be expended in whole or in part at the direction and discretion of the Engineer.</t>
  </si>
  <si>
    <r>
      <rPr>
        <sz val="12"/>
        <rFont val="Garamond"/>
        <family val="1"/>
      </rPr>
      <t>15. The duties and responsibilities of the Prime Contractor for items 13(b), 13(c) and 13 (d) above are deemed to be covered by the Contractor’s charge indicated in here. The duties and responsibilities of the Prime Contractor in addition to those indicated in the Bill of Quantities are:-</t>
    </r>
  </si>
  <si>
    <t>a.   Handle and store materials at site both for prime contractor, the Client and nominated sub-contractor works.</t>
  </si>
  <si>
    <t>b. Provide utilities like power, water and other necessary utilities for use by the Client and nominated sub-contractors.</t>
  </si>
  <si>
    <t>c. Provide within the site transport and lifting equipment for all loading and unloading purposes and all required transportation within the site as required by the Client and nominated sub-contractors.</t>
  </si>
  <si>
    <t>e. Execute any incidental works, like concrete work, earthwork, finishing, patching, and chiseling as required by the Client and nominated sub- contractors.</t>
  </si>
  <si>
    <t>f.   Removal of debris and clean the site at completion</t>
  </si>
  <si>
    <t>16. Errors will be corrected by the Employer for any arithmetic errors in computation or summation as follows:</t>
  </si>
  <si>
    <t>(a) where there is discrepancy between amounts in figures and in words, the amount in words will govern</t>
  </si>
  <si>
    <t>(b) where there is a discrepancy between the unit rate and the total amount derived from the multiplication of the unit price and the quantity, the unit rate as quoted will govern.</t>
  </si>
  <si>
    <t>17. Rock is defined as all materials which, in the opinion of the Engineer, require blasting, or the use of metal wedges and sledgehammers, or the use of compressed air drilling for their removal, and which cannot be extracted by ripping with a tractor of at least 150 brake hp with a single, rear-mounted, heavy-duty ripper.</t>
  </si>
  <si>
    <t>18. A type of bonding agent used for bonding old concrete to newly fresh one should get approval before application and the cost in connection with the bonding old concrete to newly fresh one shall be born by the Contractor.</t>
  </si>
  <si>
    <t>19. All provision for sanitary pipe passage, Electrical and Sanitary ducts and provision of sleeves will have to be done during concrete works as per the Electrical and Sanitary drawings and they are deemed to be included in the other rates and prices entered in the Bill of Quantities.</t>
  </si>
  <si>
    <t>20. The Contractor is responsible for the detail assessment of the Site conditions and any measure to be taken is included in the rates.</t>
  </si>
  <si>
    <t>21. The removal of Surplus excavated material shall be to an appropriate place away from the construction site. The contractor shall also make arrangement to damp this surplus excavated material to the owner place by the Direction of the Resident Engineer.</t>
  </si>
  <si>
    <t>23. All Electrical and Sanitary works /installation/ shall be done by experienced staff or specialized sub-contractor or personnel who have a minimum of eight years experience with similar works &amp; this has to be approved by the Engineer based on their CVs &amp; educational background and certification and recommendation and/or supervision by suppliers.</t>
  </si>
  <si>
    <t>24. All Electrical and Sanitary works shall be tested &amp; commissioned prior to filling chiseled cavities, installing ceilings, covering vertical &amp; horizontal ducts &amp; back filling trenches. The Contractor shall be fully responsible for all systems.</t>
  </si>
  <si>
    <t>25. The Prime contractor shall submit samples of all finishing materials installed by himself and by nominated sub-contractors for approval by the Engineer and the Employer.</t>
  </si>
  <si>
    <t>8.2.2</t>
  </si>
  <si>
    <t>SHIRE, ETHIOPIA</t>
  </si>
  <si>
    <t>BILL OF QUANTITY - Sihul Shire Accessibility Rehabilitation</t>
  </si>
  <si>
    <r>
      <rPr>
        <sz val="11"/>
        <color theme="1"/>
        <rFont val="Calibri"/>
        <family val="2"/>
      </rPr>
      <t>m</t>
    </r>
    <r>
      <rPr>
        <vertAlign val="superscript"/>
        <sz val="11"/>
        <color theme="1"/>
        <rFont val="Calibri"/>
        <family val="2"/>
      </rPr>
      <t>2</t>
    </r>
  </si>
  <si>
    <r>
      <rPr>
        <sz val="11"/>
        <color theme="1"/>
        <rFont val="Calibri"/>
        <family val="2"/>
      </rPr>
      <t xml:space="preserve">Supply and fix 600X600X10mm </t>
    </r>
    <r>
      <rPr>
        <b/>
        <sz val="11"/>
        <color theme="1"/>
        <rFont val="Calibri"/>
        <family val="2"/>
      </rPr>
      <t>Porcelain ceramic floor tiles</t>
    </r>
    <r>
      <rPr>
        <sz val="11"/>
        <color theme="1"/>
        <rFont val="Calibri"/>
        <family val="2"/>
      </rPr>
      <t xml:space="preserve"> of approved sizes and quality  with cement mortar backing and joints grouted in colored cement. Pattern, color and quality shall be approved by the Engineer.
</t>
    </r>
  </si>
  <si>
    <t xml:space="preserve">100x10mm porcelain ceramic skirting stuck to wall with cement mortar (1:3)mix.
</t>
  </si>
  <si>
    <t>07</t>
  </si>
  <si>
    <t>7.1.1</t>
  </si>
  <si>
    <t>Handrail</t>
  </si>
  <si>
    <t>7.2.1</t>
  </si>
  <si>
    <r>
      <rPr>
        <b/>
        <sz val="11"/>
        <color theme="1"/>
        <rFont val="Calibri"/>
        <family val="2"/>
      </rPr>
      <t>Cement Mortar Plastering to internal wall.</t>
    </r>
    <r>
      <rPr>
        <sz val="11"/>
        <color theme="1"/>
        <rFont val="Calibri"/>
        <family val="2"/>
      </rPr>
      <t xml:space="preserve"> Plaster shall be applied in two coats of mortar with the following ratio: 
First coat:  1 Part cement to 2.5 parts aggregate by volume.
Second Coat: 1 Part of cement to 3 parts of aggregate by volume.
The work includes chiseling for vertical concrete wall, columns and vertical beams.
</t>
    </r>
  </si>
  <si>
    <t>8.2.3</t>
  </si>
  <si>
    <r>
      <t xml:space="preserve">Supply and fix 450X450X9mm </t>
    </r>
    <r>
      <rPr>
        <b/>
        <sz val="11"/>
        <rFont val="Calibri"/>
        <family val="2"/>
        <scheme val="minor"/>
      </rPr>
      <t xml:space="preserve">Non slippery ceramic floor tiles </t>
    </r>
    <r>
      <rPr>
        <sz val="11"/>
        <rFont val="Calibri"/>
        <family val="2"/>
        <scheme val="minor"/>
      </rPr>
      <t xml:space="preserve">of approved sizes and quality  with cement mortar backing and joints grouted in colored cement. Pattern, color and quality shall be approved by the Engineer.
</t>
    </r>
  </si>
  <si>
    <r>
      <t xml:space="preserve">Supply and Apply three coats of weather resistant emulsion paint to </t>
    </r>
    <r>
      <rPr>
        <b/>
        <sz val="11"/>
        <color theme="1"/>
        <rFont val="Calibri"/>
        <family val="2"/>
      </rPr>
      <t>chipwood ceiling</t>
    </r>
    <r>
      <rPr>
        <sz val="11"/>
        <color theme="1"/>
        <rFont val="Calibri"/>
        <family val="2"/>
      </rPr>
      <t>. Color to be approved by the Architect/Engineer.</t>
    </r>
  </si>
  <si>
    <t>06</t>
  </si>
  <si>
    <t>METAL WORK</t>
  </si>
  <si>
    <t>6.1</t>
  </si>
  <si>
    <t>Aluminum doors</t>
  </si>
  <si>
    <r>
      <rPr>
        <b/>
        <sz val="11"/>
        <rFont val="Calibri"/>
        <family val="2"/>
        <scheme val="minor"/>
      </rPr>
      <t>Standards</t>
    </r>
    <r>
      <rPr>
        <sz val="11"/>
        <rFont val="Calibri"/>
        <family val="2"/>
        <scheme val="minor"/>
      </rPr>
      <t xml:space="preserve">
Comply with the following standard.
Hot dip galvanized coating on iron and steel articles BS 729
Anodic oxidation coating on Aluminum BS 1615
Anodic oxide coating on Aluminum for external architectural application BS 3987
Wrought steel for mechanical &amp; allied engineering purposes BS 970
</t>
    </r>
  </si>
  <si>
    <t>6.1.1</t>
  </si>
  <si>
    <t>No</t>
  </si>
  <si>
    <t>6.1.2</t>
  </si>
  <si>
    <t>02</t>
  </si>
  <si>
    <t>CONCRETE WORKS</t>
  </si>
  <si>
    <t>Cast in Place Concrete</t>
  </si>
  <si>
    <r>
      <t xml:space="preserve">Cast in place concrete is concrete premixed at a batching plant and transported to the work site or concrete whose ingredients are transported to the site and mixed just before casting in place.
Provide cement, aggregate, water admixture, labor equipment and tools for cast in place concrete as required for the satisfactory installation of the works.
Quality Assurance
</t>
    </r>
    <r>
      <rPr>
        <b/>
        <sz val="11"/>
        <rFont val="Calibri"/>
        <family val="2"/>
        <scheme val="minor"/>
      </rPr>
      <t>031 Standards</t>
    </r>
    <r>
      <rPr>
        <sz val="11"/>
        <rFont val="Calibri"/>
        <family val="2"/>
        <scheme val="minor"/>
      </rPr>
      <t xml:space="preserve">
Comply with the following standards.
ES C. D5 201General Requirement, Portland cement,
ES C. D8 490Methods of Sampling and testing Portland cement, ESI
ES C. D3 201Normal Concrete aggregate, ESI
ASTM C260 Air-entraining admixtures,
ASTM C494  Water-reducing, retarding and accelerating admixtures.
ASTM C94Mixing water for concrete.
ASTM C330 Light weight aggregate for structural concrete
</t>
    </r>
  </si>
  <si>
    <t>50mm thick C-5 lean concrete with minimum cement content of 150kg/m3 of concrete under</t>
  </si>
  <si>
    <r>
      <t xml:space="preserve">REINFORCED CONCRETE GRADE C-25 (25 MPa) </t>
    </r>
    <r>
      <rPr>
        <sz val="11"/>
        <rFont val="Calibri"/>
        <family val="2"/>
        <scheme val="minor"/>
      </rPr>
      <t>cast into formworks and vibrated around rod reinforcement bars.</t>
    </r>
    <r>
      <rPr>
        <b/>
        <sz val="11"/>
        <rFont val="Calibri"/>
        <family val="2"/>
        <scheme val="minor"/>
      </rPr>
      <t xml:space="preserve">
NB</t>
    </r>
    <r>
      <rPr>
        <sz val="11"/>
        <rFont val="Calibri"/>
        <family val="2"/>
        <scheme val="minor"/>
      </rPr>
      <t>: Form work and reinforcement steel will measured elsewhere.</t>
    </r>
    <r>
      <rPr>
        <b/>
        <sz val="11"/>
        <rFont val="Calibri"/>
        <family val="2"/>
        <scheme val="minor"/>
      </rPr>
      <t xml:space="preserve">
</t>
    </r>
  </si>
  <si>
    <t>SUB TOTAL CONCRETE WORK ETH BIRR</t>
  </si>
  <si>
    <t>Under CURBSTONE</t>
  </si>
  <si>
    <t>SUB TOTAL FOR METAL WORK ETH BIRR</t>
  </si>
  <si>
    <t>MISCELLANEOUS</t>
  </si>
  <si>
    <t xml:space="preserve"> ELECTRICAL INSTALLATION</t>
  </si>
  <si>
    <t>Supply, Install and Test all Electrical Systems: Power Distribution Boards with Circuit Breakers, Light Fittings with Lamps, Switches, Outlets and Others including required items and accessories. All items shall be Industry standard and approved equivalent types.</t>
  </si>
  <si>
    <t xml:space="preserve">Flush Mounted Socket Outlets with Earth Contact </t>
  </si>
  <si>
    <t>Flush mounting socket outlet of 16A 1Phase.</t>
  </si>
  <si>
    <t>Light Fittings</t>
  </si>
  <si>
    <t>Supply, Connect and Test lamps and complete accessories.</t>
  </si>
  <si>
    <t>SUB TOTAL FOR ELECTRICAL WORK ETH BIRR</t>
  </si>
  <si>
    <t>m2</t>
  </si>
  <si>
    <t>Deduct Openings</t>
  </si>
  <si>
    <t>Internal Wall</t>
  </si>
  <si>
    <t>4, Floor Finish</t>
  </si>
  <si>
    <t>Ceramic Tile</t>
  </si>
  <si>
    <t>STEEL WORK</t>
  </si>
  <si>
    <t>Doors</t>
  </si>
  <si>
    <t>Partition Wall</t>
  </si>
  <si>
    <t>Doors/Windows</t>
  </si>
  <si>
    <t>Above Part</t>
  </si>
  <si>
    <t>Emergency Waiting Area and Triage</t>
  </si>
  <si>
    <t>Emergency Waiting Area</t>
  </si>
  <si>
    <t>Emergency Main Entrance Area</t>
  </si>
  <si>
    <t>Corridor Leading to Maternity Ward</t>
  </si>
  <si>
    <t>Main Corridor of the Hospital</t>
  </si>
  <si>
    <t>GLAZING</t>
  </si>
  <si>
    <t>Supply and fix 6 mm thick clear sheet glass to windows and doors. Price shall include putty and all the necessary fixing accessories.</t>
  </si>
  <si>
    <t>Emergency Waiting Area  broken parts of 4 Doors sized 2.30x2.65m</t>
  </si>
  <si>
    <t>Emergency Entrance Area</t>
  </si>
  <si>
    <t>Chipwood Ceiling</t>
  </si>
  <si>
    <t>Entrance Gate</t>
  </si>
  <si>
    <t>Walk In Gates</t>
  </si>
  <si>
    <t>Main Gate</t>
  </si>
  <si>
    <r>
      <t xml:space="preserve">Supply and Apply three coats of weather resistant emulsion paint to </t>
    </r>
    <r>
      <rPr>
        <b/>
        <sz val="11"/>
        <color theme="1"/>
        <rFont val="Calibri"/>
        <family val="2"/>
      </rPr>
      <t>external wall</t>
    </r>
    <r>
      <rPr>
        <sz val="11"/>
        <color theme="1"/>
        <rFont val="Calibri"/>
        <family val="2"/>
      </rPr>
      <t xml:space="preserve"> surface of the Main Hospital Entrance </t>
    </r>
  </si>
  <si>
    <t>External Paint</t>
  </si>
  <si>
    <t>Emergency</t>
  </si>
  <si>
    <t>sides</t>
  </si>
  <si>
    <t>front</t>
  </si>
  <si>
    <t>columns</t>
  </si>
  <si>
    <t>back</t>
  </si>
  <si>
    <t>Extra Over Light Points for Flush Mounted Switches</t>
  </si>
  <si>
    <t xml:space="preserve"> </t>
  </si>
  <si>
    <t>Flush mounting single switch 774001+774041</t>
  </si>
  <si>
    <r>
      <t xml:space="preserve">Supply and Apply three coats of acrylic emulsion paint to </t>
    </r>
    <r>
      <rPr>
        <b/>
        <sz val="11"/>
        <color theme="1"/>
        <rFont val="Calibri"/>
        <family val="2"/>
      </rPr>
      <t>internal plastered wall</t>
    </r>
    <r>
      <rPr>
        <sz val="11"/>
        <color theme="1"/>
        <rFont val="Calibri"/>
        <family val="2"/>
      </rPr>
      <t xml:space="preserve"> surfaces. Cost includes cleaning both surfaces and fixing all cracks with Masonry Filler. Color to be approved by the Architect/Engineer.</t>
    </r>
  </si>
  <si>
    <t>Corridor leading to Maternity Ward</t>
  </si>
  <si>
    <t xml:space="preserve">Emergency </t>
  </si>
  <si>
    <t>Handrails</t>
  </si>
  <si>
    <t>Above the doors</t>
  </si>
  <si>
    <t xml:space="preserve">Make Good Ceramic Tiles 
</t>
  </si>
  <si>
    <t xml:space="preserve">Corridor Leading to Maternity Ward
</t>
  </si>
  <si>
    <t>Along the 2 sides of the Corridor</t>
  </si>
  <si>
    <t>Above doors</t>
  </si>
  <si>
    <t>Surgical Ward</t>
  </si>
  <si>
    <t>Emergency Waiting Area broken parts of Main Door 5.60x2.65m</t>
  </si>
  <si>
    <r>
      <rPr>
        <sz val="11"/>
        <color theme="1"/>
        <rFont val="Calibri"/>
        <family val="2"/>
      </rPr>
      <t xml:space="preserve">Emergency Waiting Area
</t>
    </r>
  </si>
  <si>
    <t>Porcelain Tile</t>
  </si>
  <si>
    <t xml:space="preserve">Emergency Waiting Area
</t>
  </si>
  <si>
    <t>8.2.1.1</t>
  </si>
  <si>
    <t>8.2.2.1</t>
  </si>
  <si>
    <t xml:space="preserve">Emergency Entrance Area
</t>
  </si>
  <si>
    <t>8.2.3.1</t>
  </si>
  <si>
    <t>Emergency Entrance</t>
  </si>
  <si>
    <t>23-Emergency Laboratory</t>
  </si>
  <si>
    <t>25-OR</t>
  </si>
  <si>
    <t>Additional access to Emergency Laboratory - No signage</t>
  </si>
  <si>
    <t>Additional access to OR - No signage</t>
  </si>
  <si>
    <t>Access to Rear Garden - No signage</t>
  </si>
  <si>
    <t>22- x-ray room</t>
  </si>
  <si>
    <t>26- MCH</t>
  </si>
  <si>
    <t>Additional access to MCH - No signage</t>
  </si>
  <si>
    <t>Additional access to X-Ray Room - No signage</t>
  </si>
  <si>
    <t>27 - Adult ICU</t>
  </si>
  <si>
    <t>21 - Ultrasound</t>
  </si>
  <si>
    <t>Window 1 - No signage</t>
  </si>
  <si>
    <t>Window 2 - No signage</t>
  </si>
  <si>
    <t>28 - Maternity</t>
  </si>
  <si>
    <t>Additional access to OR -No signage</t>
  </si>
  <si>
    <t>Windows towards Maternity Waiting Area - No signage</t>
  </si>
  <si>
    <t>Additional access to Ultrasound - No signage</t>
  </si>
  <si>
    <t>Door to Maternity Waiting Area</t>
  </si>
  <si>
    <t>29 - NICU/CSEC Post-OP</t>
  </si>
  <si>
    <t xml:space="preserve">Duty Room </t>
  </si>
  <si>
    <t>Exit</t>
  </si>
  <si>
    <t>20 - Medical Director</t>
  </si>
  <si>
    <t>19 - Dental</t>
  </si>
  <si>
    <t>Door to Rear Garden - No signage</t>
  </si>
  <si>
    <t>Door to Front Garden - No signage</t>
  </si>
  <si>
    <t>17 - INP Pharmacy</t>
  </si>
  <si>
    <t>Additional access to INP Pharmacy - No signage</t>
  </si>
  <si>
    <t>Latrine - No signage</t>
  </si>
  <si>
    <t xml:space="preserve">Exit </t>
  </si>
  <si>
    <t>Windows towards Garden - No Signage</t>
  </si>
  <si>
    <t xml:space="preserve">Dinning Room </t>
  </si>
  <si>
    <t>31 - Pediatric Ward</t>
  </si>
  <si>
    <t>Walkway from Main Hospital Corridor to Central Laboratory</t>
  </si>
  <si>
    <t>ml</t>
  </si>
  <si>
    <t>Walkway from Central Laboratory to Management office</t>
  </si>
  <si>
    <t>Walkway from Emergency Area to Corridor Leading to Maternity Ward</t>
  </si>
  <si>
    <t>Walkway from Management office to Medical Ward</t>
  </si>
  <si>
    <t>Walkway from Main Gate to Central Laboratory</t>
  </si>
  <si>
    <t>Garden in front of the Hospital</t>
  </si>
  <si>
    <t>Walkway around Garden in front of the Hospital</t>
  </si>
  <si>
    <t>Gynecology Corridor</t>
  </si>
  <si>
    <t>New Stone pavement [Main Entrance to Central Laboratory]</t>
  </si>
  <si>
    <t xml:space="preserve">Main Access Door size 180*265cm </t>
  </si>
  <si>
    <t xml:space="preserve">Emergency Area Door size 3.50*265cm </t>
  </si>
  <si>
    <t xml:space="preserve">Access to the Garden Door size 180*265cm </t>
  </si>
  <si>
    <t xml:space="preserve">Emergency Laboratory Door size 115*210cm </t>
  </si>
  <si>
    <t xml:space="preserve">OR Door size 230*265cm </t>
  </si>
  <si>
    <t xml:space="preserve">Emergency Laboratory Additional Door size 120*210cm </t>
  </si>
  <si>
    <t xml:space="preserve">OR Additional Door size 90*210cm </t>
  </si>
  <si>
    <t xml:space="preserve">X-Ray Room Door size 120*210cm </t>
  </si>
  <si>
    <t xml:space="preserve">MCH Door size 260*210cm </t>
  </si>
  <si>
    <t xml:space="preserve">MCH Additional Door size 120*210cm </t>
  </si>
  <si>
    <t xml:space="preserve">X-Ray Room Additional Door size 120*210cm </t>
  </si>
  <si>
    <t xml:space="preserve">Adult ICU Door size 240*210cm </t>
  </si>
  <si>
    <t xml:space="preserve">Ultrasound Room Door size 90*210cm </t>
  </si>
  <si>
    <t>Aluminum Windows</t>
  </si>
  <si>
    <t>﻿﻿﻿Window to Rear Garden size: W=100cm H=180cm</t>
  </si>
  <si>
    <t>﻿﻿﻿Window to Rear Garden size: W=130cm H=180cm</t>
  </si>
  <si>
    <t xml:space="preserve">Main Corridor of the Hospital
</t>
  </si>
  <si>
    <t xml:space="preserve">Maternity Door size 300*265cm </t>
  </si>
  <si>
    <t xml:space="preserve">OR Additional Door size 3.00*265cm </t>
  </si>
  <si>
    <t xml:space="preserve">Adult ICU Additional Door size 100*210cm </t>
  </si>
  <si>
    <t>﻿﻿﻿Window to Maternity Waiting Area size: W=200cm H=180cm</t>
  </si>
  <si>
    <t xml:space="preserve">Exit Door size 300*265cm </t>
  </si>
  <si>
    <t xml:space="preserve">Ultrasound Additional Door size 80*210cm </t>
  </si>
  <si>
    <t xml:space="preserve">Duty Room Door size 80*210cm </t>
  </si>
  <si>
    <t xml:space="preserve">Gynecology Door size 300*265cm </t>
  </si>
  <si>
    <t xml:space="preserve">Medical Director Door size 90*210cm </t>
  </si>
  <si>
    <t xml:space="preserve">Dental size 90*210cm </t>
  </si>
  <si>
    <t xml:space="preserve">Rear Garden Door size 180*265cm </t>
  </si>
  <si>
    <t xml:space="preserve">Front Garden Door size 280*265cm </t>
  </si>
  <si>
    <t xml:space="preserve">INP Pharmacy Door size 150*210cm </t>
  </si>
  <si>
    <t xml:space="preserve">INP Additional Door size 90*210cm </t>
  </si>
  <si>
    <t xml:space="preserve">Latrine Door size 90*210cm </t>
  </si>
  <si>
    <t xml:space="preserve">Surgical Ward size 300*265cm </t>
  </si>
  <si>
    <t>﻿﻿﻿Window to Rear Garden size: W=200cm H=180cm</t>
  </si>
  <si>
    <t xml:space="preserve">Manager Secretary Door size 90*210cm </t>
  </si>
  <si>
    <t xml:space="preserve">Staff Dining Door size 300*265cm </t>
  </si>
  <si>
    <t xml:space="preserve">Pediatric Ward Door size 300*265cm </t>
  </si>
  <si>
    <t xml:space="preserve">Exit Door size 225*265cm </t>
  </si>
  <si>
    <t xml:space="preserve">Access to Central Laboratory Door size 225*265cm </t>
  </si>
  <si>
    <t xml:space="preserve">Gynecology Corridor
</t>
  </si>
  <si>
    <t xml:space="preserve">Access to NICU Door size 300*265cm </t>
  </si>
  <si>
    <t>Curbstone size 150x400mm</t>
  </si>
  <si>
    <t>Metal Structure</t>
  </si>
  <si>
    <t>Along Corridor connecting Gynecology and NICU</t>
  </si>
  <si>
    <t>Emergency Area</t>
  </si>
  <si>
    <t>Stickers for Doors</t>
  </si>
  <si>
    <t>Main Door 560x265cm</t>
  </si>
  <si>
    <t>Left and Right of Main Door 100x265cm</t>
  </si>
  <si>
    <t>Adult Emergency Department Door 230x265cm</t>
  </si>
  <si>
    <t>Child Emergency Department Door 230x265cm</t>
  </si>
  <si>
    <t>Child Emergency Department Door 100x265cm</t>
  </si>
  <si>
    <t>Triage</t>
  </si>
  <si>
    <t>Door size 100x265cm</t>
  </si>
  <si>
    <t>Window size 100x180cm</t>
  </si>
  <si>
    <t>Window size 100x100cm</t>
  </si>
  <si>
    <t>Back Side of Emergency Area [Garden side]</t>
  </si>
  <si>
    <t>Door size 560x265cm</t>
  </si>
  <si>
    <t>Door size 230x265cm</t>
  </si>
  <si>
    <t>Plastering</t>
  </si>
  <si>
    <t>Painting</t>
  </si>
  <si>
    <t>Door Signage along accessibility route</t>
  </si>
  <si>
    <t>Repair Existing Stone pavement [Main Entrance to Central Laboratory]</t>
  </si>
  <si>
    <t>Walkways</t>
  </si>
  <si>
    <t>Signage</t>
  </si>
  <si>
    <t>SUB TOTAL FOR MISCELLANEOUS WORK ETH BIRR</t>
  </si>
  <si>
    <t>d.  Provide scaffolding, ladder, etc. as needed</t>
  </si>
  <si>
    <r>
      <t>22. The Contractor shall submit catalogues with full description for Items under all Divisions which include, but are not limited to: Finishing Materials, Electrical, Sanitary fittings &amp; Equipment and shall get approval by the Engineer before purchasing or ordering</t>
    </r>
    <r>
      <rPr>
        <sz val="12"/>
        <color rgb="FFFF0000"/>
        <rFont val="Garamond"/>
        <family val="1"/>
      </rPr>
      <t>.</t>
    </r>
  </si>
  <si>
    <t xml:space="preserve">Liaison Office Door size 90*210cm </t>
  </si>
  <si>
    <t>Additional access to Adult ICU - No signage</t>
  </si>
  <si>
    <t>18 - Liaison Office</t>
  </si>
  <si>
    <t xml:space="preserve">Secretary </t>
  </si>
  <si>
    <t>SIHUL SHIRE HOSPITAL ACCESSIBILITY REHABILITATION</t>
  </si>
  <si>
    <t>a.   Bill No. 1 – Sihul Shire Hospital Accessibility Rehabilitation</t>
  </si>
  <si>
    <r>
      <rPr>
        <b/>
        <sz val="11"/>
        <rFont val="Calibri"/>
        <family val="2"/>
        <scheme val="minor"/>
      </rPr>
      <t>C-15</t>
    </r>
    <r>
      <rPr>
        <sz val="11"/>
        <rFont val="Calibri"/>
        <family val="2"/>
        <scheme val="minor"/>
      </rPr>
      <t xml:space="preserve"> 10cm thick mass concrete pavement. Cost should include hardcore and 7cm Select material</t>
    </r>
  </si>
  <si>
    <t>Supply and fix 8 mm thick chip wood ceilings as per the Engineer's approval. Price shall include (40x50)mm wooden battens with c/c spacing of 600 mm both ways, middle and corner list, and all other necessary accessories. [DAMAGED PARTS ONLY]</t>
  </si>
  <si>
    <t xml:space="preserve">Aluminum doors made of 1.6 mm thick  extruded profiles. The aluminum profiles shall be of approved color with brushed finish cuts. Manufacturing of the doors is subject to the approval of shop drawings to be provided by the Contractor.  Price shall include 6mm thick nonreflective tinted glass, approved type of locks, door stopper  and handle. Hinges, Locks, Profiles and all important accessories  should be approved by the Engineer. 
</t>
  </si>
  <si>
    <t>Metal Handrail</t>
  </si>
  <si>
    <t xml:space="preserve">5cm Cement Screed Flooring </t>
  </si>
  <si>
    <t>8.2.3.2</t>
  </si>
  <si>
    <t>01</t>
  </si>
  <si>
    <t>1.1</t>
  </si>
  <si>
    <t>1.1.1</t>
  </si>
  <si>
    <t>1.1.1.1</t>
  </si>
  <si>
    <t>1.1.2</t>
  </si>
  <si>
    <t>1.1.2.1</t>
  </si>
  <si>
    <t>1.1.2.1.1</t>
  </si>
  <si>
    <t>1.1.2.1.2</t>
  </si>
  <si>
    <t>1.1.2.1.3</t>
  </si>
  <si>
    <t>1.1.2.1.4</t>
  </si>
  <si>
    <t>1.1.2.2</t>
  </si>
  <si>
    <t>1.1.2.2.1</t>
  </si>
  <si>
    <t>1.1.2.2.2</t>
  </si>
  <si>
    <t>1.1.2.2.3</t>
  </si>
  <si>
    <t>1.1.2.2.4</t>
  </si>
  <si>
    <t>1.1.2.2.5</t>
  </si>
  <si>
    <t xml:space="preserve">Aluminum windows made of 1.6 mm thick  extruded profiles. The aluminum profiles shall be of approved color with brushed finish cuts. Manufacturing of the windows is subject to the approval of shop drawings to be provided by the Contractor.  Price shall include 6mm thick nonreflective tinted glass, approved type of locks and handle. Hinges, Locks, Profiles and all important accessories  should be approved by the Engineer. 
</t>
  </si>
  <si>
    <t>Supply, Spread &amp; Compact Red Ash [Garden in front of the Hospital]</t>
  </si>
  <si>
    <t>m³</t>
  </si>
  <si>
    <t>2.1</t>
  </si>
  <si>
    <t>2.1.1</t>
  </si>
  <si>
    <t>2.1.1.1</t>
  </si>
  <si>
    <t>2.1.1.2</t>
  </si>
  <si>
    <t>2.1.1.3</t>
  </si>
  <si>
    <t>2.1.1.4</t>
  </si>
  <si>
    <t>2.1.1.5</t>
  </si>
  <si>
    <t>03</t>
  </si>
  <si>
    <t>3.1</t>
  </si>
  <si>
    <t>3.1.1</t>
  </si>
  <si>
    <t>3.1.1.1</t>
  </si>
  <si>
    <t>3.1.1.2</t>
  </si>
  <si>
    <t>3.1.1.3</t>
  </si>
  <si>
    <t>3.1.1.4</t>
  </si>
  <si>
    <t>3.1.1.5</t>
  </si>
  <si>
    <t>3.1.1.6</t>
  </si>
  <si>
    <t>3.1.1.7</t>
  </si>
  <si>
    <t>3.1.1.8</t>
  </si>
  <si>
    <t>3.1.1.9</t>
  </si>
  <si>
    <t>3.1.1.10</t>
  </si>
  <si>
    <t>3.1.1.11</t>
  </si>
  <si>
    <t>3.1.1.12</t>
  </si>
  <si>
    <t>3.1.1.13</t>
  </si>
  <si>
    <t>3.1.2</t>
  </si>
  <si>
    <t>3.1.2.1</t>
  </si>
  <si>
    <t>3.1.2.2</t>
  </si>
  <si>
    <t>3.1.2.3</t>
  </si>
  <si>
    <t>3.1.2.4</t>
  </si>
  <si>
    <t>3.1.2.5</t>
  </si>
  <si>
    <t>3.1.2.6</t>
  </si>
  <si>
    <t>3.1.2.7</t>
  </si>
  <si>
    <t>3.1.2.8</t>
  </si>
  <si>
    <t>3.1.2.9</t>
  </si>
  <si>
    <t>3.1.2.10</t>
  </si>
  <si>
    <t>3.1.2.11</t>
  </si>
  <si>
    <t>3.1.2.12</t>
  </si>
  <si>
    <t>3.1.2.13</t>
  </si>
  <si>
    <t>3.1.2.14</t>
  </si>
  <si>
    <t>3.1.2.15</t>
  </si>
  <si>
    <t>3.1.2.16</t>
  </si>
  <si>
    <t>3.1.2.17</t>
  </si>
  <si>
    <t>3.1.2.18</t>
  </si>
  <si>
    <t>3.1.2.19</t>
  </si>
  <si>
    <t>3.1.2.20</t>
  </si>
  <si>
    <t>3.1.2.21</t>
  </si>
  <si>
    <t>3.1.2.22</t>
  </si>
  <si>
    <t>3.1.2.23</t>
  </si>
  <si>
    <t>3.1.3</t>
  </si>
  <si>
    <t>3.1.3.1</t>
  </si>
  <si>
    <t>3.2</t>
  </si>
  <si>
    <t>3.2.1</t>
  </si>
  <si>
    <t>3.2.1.1</t>
  </si>
  <si>
    <t>3.2.1.2</t>
  </si>
  <si>
    <t>3.2.2</t>
  </si>
  <si>
    <t>3.2.2.1</t>
  </si>
  <si>
    <t>3.2.2.2</t>
  </si>
  <si>
    <t>3.3</t>
  </si>
  <si>
    <t>3.3.1</t>
  </si>
  <si>
    <t>3.3.2</t>
  </si>
  <si>
    <t>3.3.3</t>
  </si>
  <si>
    <t>3.3.4</t>
  </si>
  <si>
    <t>3.3.5</t>
  </si>
  <si>
    <t>04</t>
  </si>
  <si>
    <t>4.1</t>
  </si>
  <si>
    <t>4.1.1</t>
  </si>
  <si>
    <t>4.1.1.1</t>
  </si>
  <si>
    <t>4.2</t>
  </si>
  <si>
    <t>4.2.1</t>
  </si>
  <si>
    <t>4.2.1.1</t>
  </si>
  <si>
    <t>4.2.2</t>
  </si>
  <si>
    <t>4.2.2.1</t>
  </si>
  <si>
    <t>4.2.3</t>
  </si>
  <si>
    <t>4.2.3.1</t>
  </si>
  <si>
    <t>4.2.3.2</t>
  </si>
  <si>
    <t>4.2.4</t>
  </si>
  <si>
    <t>4.2.4.1</t>
  </si>
  <si>
    <t>4.2.4.2</t>
  </si>
  <si>
    <t>4.2.4.3</t>
  </si>
  <si>
    <t>5.1.2</t>
  </si>
  <si>
    <t>5.1.3</t>
  </si>
  <si>
    <t>5.1.4</t>
  </si>
  <si>
    <t>5.2</t>
  </si>
  <si>
    <t>5.2.1</t>
  </si>
  <si>
    <t>5.2.2</t>
  </si>
  <si>
    <t>5.2.3</t>
  </si>
  <si>
    <t>5.2.4</t>
  </si>
  <si>
    <t>5.3</t>
  </si>
  <si>
    <t>5.3.1</t>
  </si>
  <si>
    <t>5.3.2</t>
  </si>
  <si>
    <r>
      <t xml:space="preserve">Supply and fix 90cm high </t>
    </r>
    <r>
      <rPr>
        <b/>
        <sz val="11"/>
        <color theme="1"/>
        <rFont val="Calibri"/>
        <family val="2"/>
      </rPr>
      <t xml:space="preserve">Metal Handrail </t>
    </r>
    <r>
      <rPr>
        <sz val="11"/>
        <color theme="1"/>
        <rFont val="Calibri"/>
        <family val="2"/>
      </rPr>
      <t>with 2 vertical 40*40*3mm RHS  posts  buried in 30cm concrete foundation at a spacing of 1.5m, a horizontal member 40*40*3mm RHS and a  diagonal member 30*30*3mm RHS connecting them. Price shall include anchor works, excavation, cartaway, two coats of anti rust and three coats of synthetic enamel paint  and the necessary works and materials to fulfill the job.</t>
    </r>
  </si>
  <si>
    <t>5.3.2.1</t>
  </si>
  <si>
    <t>7.3.1</t>
  </si>
  <si>
    <t>7.1.1.1</t>
  </si>
  <si>
    <t>7.2.1.1</t>
  </si>
  <si>
    <t>7.2.1.2</t>
  </si>
  <si>
    <t>7.2.1.3</t>
  </si>
  <si>
    <t>7.2.1.4</t>
  </si>
  <si>
    <t>7.3.1.1</t>
  </si>
  <si>
    <t>7.3.1.2</t>
  </si>
  <si>
    <t>7.3.1.3</t>
  </si>
  <si>
    <t>7.3.1.4</t>
  </si>
  <si>
    <t>8.1.2</t>
  </si>
  <si>
    <t>8.2.1.2</t>
  </si>
  <si>
    <t>8.2.1.3</t>
  </si>
  <si>
    <t>8.2.1.4</t>
  </si>
  <si>
    <t>8.2.1.5</t>
  </si>
  <si>
    <t>8.2.2.2</t>
  </si>
  <si>
    <t>8.2.2.3</t>
  </si>
  <si>
    <t>8.3</t>
  </si>
  <si>
    <t>8.3.1</t>
  </si>
  <si>
    <t>8.3.2</t>
  </si>
  <si>
    <t>8.3.3</t>
  </si>
  <si>
    <r>
      <rPr>
        <b/>
        <sz val="18"/>
        <color indexed="8"/>
        <rFont val="Cambria"/>
        <family val="1"/>
        <scheme val="major"/>
      </rPr>
      <t>01.</t>
    </r>
    <r>
      <rPr>
        <sz val="18"/>
        <color indexed="8"/>
        <rFont val="Cambria"/>
        <family val="1"/>
        <scheme val="major"/>
      </rPr>
      <t xml:space="preserve"> CONCRETE WORKS</t>
    </r>
  </si>
  <si>
    <r>
      <rPr>
        <b/>
        <sz val="18"/>
        <color indexed="8"/>
        <rFont val="Cambria"/>
        <family val="1"/>
        <scheme val="major"/>
      </rPr>
      <t>02.</t>
    </r>
    <r>
      <rPr>
        <sz val="18"/>
        <color indexed="8"/>
        <rFont val="Cambria"/>
        <family val="1"/>
        <scheme val="major"/>
      </rPr>
      <t xml:space="preserve"> CARPENTRY AND JOINERY</t>
    </r>
  </si>
  <si>
    <r>
      <rPr>
        <b/>
        <sz val="18"/>
        <color indexed="8"/>
        <rFont val="Cambria"/>
        <family val="1"/>
        <scheme val="major"/>
      </rPr>
      <t>03</t>
    </r>
    <r>
      <rPr>
        <sz val="18"/>
        <color indexed="8"/>
        <rFont val="Cambria"/>
        <family val="1"/>
        <scheme val="major"/>
      </rPr>
      <t>. METAL WORKS</t>
    </r>
  </si>
  <si>
    <r>
      <rPr>
        <b/>
        <sz val="18"/>
        <color indexed="8"/>
        <rFont val="Cambria"/>
        <family val="1"/>
        <scheme val="major"/>
      </rPr>
      <t>04.</t>
    </r>
    <r>
      <rPr>
        <sz val="18"/>
        <color indexed="8"/>
        <rFont val="Cambria"/>
        <family val="1"/>
        <scheme val="major"/>
      </rPr>
      <t xml:space="preserve"> WALL AND FLOOR FINISHING</t>
    </r>
  </si>
  <si>
    <r>
      <rPr>
        <b/>
        <sz val="18"/>
        <color indexed="8"/>
        <rFont val="Cambria"/>
        <family val="1"/>
        <scheme val="major"/>
      </rPr>
      <t>05</t>
    </r>
    <r>
      <rPr>
        <sz val="18"/>
        <color indexed="8"/>
        <rFont val="Cambria"/>
        <family val="1"/>
        <scheme val="major"/>
      </rPr>
      <t>. PAINTING</t>
    </r>
  </si>
  <si>
    <r>
      <rPr>
        <b/>
        <sz val="18"/>
        <color rgb="FF000000"/>
        <rFont val="Cambria"/>
        <family val="1"/>
        <scheme val="major"/>
      </rPr>
      <t>06.</t>
    </r>
    <r>
      <rPr>
        <sz val="18"/>
        <color indexed="8"/>
        <rFont val="Cambria"/>
        <family val="1"/>
        <scheme val="major"/>
      </rPr>
      <t xml:space="preserve"> GLAZING</t>
    </r>
  </si>
  <si>
    <r>
      <rPr>
        <b/>
        <sz val="18"/>
        <color rgb="FF000000"/>
        <rFont val="Cambria"/>
        <family val="1"/>
        <scheme val="major"/>
      </rPr>
      <t>07.</t>
    </r>
    <r>
      <rPr>
        <sz val="18"/>
        <color indexed="8"/>
        <rFont val="Cambria"/>
        <family val="1"/>
        <scheme val="major"/>
      </rPr>
      <t xml:space="preserve"> ELECTRICAL WORKS</t>
    </r>
  </si>
  <si>
    <r>
      <rPr>
        <b/>
        <sz val="18"/>
        <color rgb="FF000000"/>
        <rFont val="Cambria"/>
        <family val="1"/>
        <scheme val="major"/>
      </rPr>
      <t>08.</t>
    </r>
    <r>
      <rPr>
        <sz val="18"/>
        <color indexed="8"/>
        <rFont val="Cambria"/>
        <family val="1"/>
        <scheme val="major"/>
      </rPr>
      <t xml:space="preserve"> MISCELLANEOUS</t>
    </r>
  </si>
  <si>
    <t>SUB TOTAL GLAZING ETH BIRR</t>
  </si>
  <si>
    <t>Panel LED 60x60 24W, 3500lm lf 30000hr 4000k</t>
  </si>
  <si>
    <t>EMERGENCY [1mx2m] including Metal Structure</t>
  </si>
  <si>
    <r>
      <t xml:space="preserve">Supply and Apply two coats of anti rust and three coats of synthetic enamel paint to the existing </t>
    </r>
    <r>
      <rPr>
        <b/>
        <sz val="11"/>
        <color theme="1"/>
        <rFont val="Calibri"/>
        <family val="2"/>
      </rPr>
      <t xml:space="preserve">handrails </t>
    </r>
    <r>
      <rPr>
        <sz val="11"/>
        <color theme="1"/>
        <rFont val="Calibri"/>
        <family val="2"/>
      </rPr>
      <t xml:space="preserve">and to </t>
    </r>
    <r>
      <rPr>
        <b/>
        <sz val="11"/>
        <color theme="1"/>
        <rFont val="Calibri"/>
        <family val="2"/>
      </rPr>
      <t xml:space="preserve">Metal Structures </t>
    </r>
    <r>
      <rPr>
        <sz val="11"/>
        <color theme="1"/>
        <rFont val="Calibri"/>
        <family val="2"/>
      </rPr>
      <t>along the main hospital routes</t>
    </r>
  </si>
  <si>
    <t>5.3.1.1</t>
  </si>
  <si>
    <t>5.3.1.2</t>
  </si>
  <si>
    <t>09</t>
  </si>
  <si>
    <t>MAIN GATE</t>
  </si>
  <si>
    <t>9.2</t>
  </si>
  <si>
    <t>9.1</t>
  </si>
  <si>
    <r>
      <t xml:space="preserve">Repalce the hospital main gate (2*(3m*2.40m) using a 40mm*60mm*3mm RHS frame and 40mm*40mm*3mm RHS supports (Spacing between 2 supports should be &lt; = 100mm), use a heavy duty roller bearing on bottom of the 2 sides. 
The price shall include dismantling the existing gates, Supply and installation of hinges, bolts, latches, and lock system, Application of primer coat (anti-rust primer),  Application of two coats of enamel paint (weather resistant), rails, rollers, all related concrete works for the gate and the rails. 
</t>
    </r>
    <r>
      <rPr>
        <i/>
        <sz val="11"/>
        <color theme="1"/>
        <rFont val="Calibri"/>
        <family val="2"/>
      </rPr>
      <t xml:space="preserve">This intervention needs engineer approval. </t>
    </r>
  </si>
  <si>
    <t>9.1.2</t>
  </si>
  <si>
    <t>SUB TOTAL FOR MAIN GATE ETH BIRR</t>
  </si>
  <si>
    <r>
      <rPr>
        <b/>
        <sz val="11"/>
        <color theme="1"/>
        <rFont val="Calibri"/>
        <family val="2"/>
      </rPr>
      <t>Metalic signage (70cm*1060cm),</t>
    </r>
    <r>
      <rPr>
        <sz val="11"/>
        <color theme="1"/>
        <rFont val="Calibri"/>
        <family val="2"/>
      </rPr>
      <t xml:space="preserve">  above the main gate of the hospital using a (80mm*80mm*3mm)metallic poles, 40mm*40mm*3mm RHS supports and 1.2 mm sheet metal, Price shall include dismantling the existing sign post, Application of primer coat (anti-rust primer),  Application of two coats of enamel paint (weather resistant), all related concrete works, and writing the contents on the metalic signage. 
</t>
    </r>
    <r>
      <rPr>
        <i/>
        <sz val="11"/>
        <color rgb="FFFF0000"/>
        <rFont val="Calibri"/>
        <family val="2"/>
      </rPr>
      <t xml:space="preserve">This intervention needs Pre - approval from the hospital. </t>
    </r>
  </si>
  <si>
    <r>
      <t xml:space="preserve">Repalce the hospital small access gates 2 PCS of (1m*2.40m)using a 40mm*60mm*3mm RHS frame and 40mm*40mm*3mm RHS supports (Spacing between 2 supports should be &lt; = 100mm).
Price shall include dismantling the existing gates, Supply and installation of hinges, bolts, latches, and lock system, Application of primer coat (anti-rust primer),  Application of two coats of enamel paint (weather resistant) and all related concrete works.
</t>
    </r>
    <r>
      <rPr>
        <i/>
        <sz val="11"/>
        <color theme="1"/>
        <rFont val="Calibri"/>
        <family val="2"/>
      </rPr>
      <t xml:space="preserve">This intervention needs engineer approval. </t>
    </r>
  </si>
  <si>
    <r>
      <rPr>
        <b/>
        <sz val="18"/>
        <color rgb="FF000000"/>
        <rFont val="Cambria"/>
        <family val="1"/>
        <scheme val="major"/>
      </rPr>
      <t>09.</t>
    </r>
    <r>
      <rPr>
        <sz val="18"/>
        <color indexed="8"/>
        <rFont val="Cambria"/>
        <family val="1"/>
        <scheme val="major"/>
      </rPr>
      <t xml:space="preserve"> MAIN GATE</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</si>
</sst>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General_)"/>
    <numFmt numFmtId="165" formatCode="&quot;$&quot;#,##0;[Red]\-&quot;$&quot;#,##0"/>
    <numFmt numFmtId="166" formatCode="&quot; &quot;#,##0.00&quot; &quot;;&quot; (&quot;#,##0.00&quot;)&quot;;&quot; -&quot;00&quot; &quot;;&quot; &quot;@&quot; &quot;"/>
    <numFmt numFmtId="167" formatCode="_(* #,##0_);_(* \(#,##0\);_(* &quot;-&quot;??_);_(@_)"/>
  </numFmts>
  <fonts count="44">
    <font>
      <sz val="11"/>
      <color theme="1"/>
      <name val="Calibri"/>
      <family val="2"/>
      <scheme val="minor"/>
    </font>
    <font>
      <sz val="11"/>
      <color theme="1"/>
      <name val="Calibri"/>
      <family val="2"/>
      <scheme val="minor"/>
    </font>
    <font>
      <sz val="10"/>
      <name val="Arial"/>
      <family val="2"/>
    </font>
    <font>
      <b/>
      <sz val="18"/>
      <color theme="1"/>
      <name val="Tw Cen MT"/>
      <family val="2"/>
    </font>
    <font>
      <sz val="18"/>
      <color theme="1"/>
      <name val="Tw Cen MT"/>
      <family val="2"/>
    </font>
    <font>
      <sz val="10"/>
      <name val="Stylus BT"/>
      <family val="2"/>
    </font>
    <font>
      <sz val="11"/>
      <name val="Calibri"/>
      <family val="2"/>
      <scheme val="minor"/>
    </font>
    <font>
      <b/>
      <sz val="18"/>
      <color theme="1"/>
      <name val="Cambria"/>
      <family val="1"/>
      <scheme val="major"/>
    </font>
    <font>
      <sz val="18"/>
      <color theme="1"/>
      <name val="Cambria"/>
      <family val="1"/>
      <scheme val="major"/>
    </font>
    <font>
      <sz val="18"/>
      <color indexed="8"/>
      <name val="Cambria"/>
      <family val="1"/>
      <scheme val="major"/>
    </font>
    <font>
      <b/>
      <sz val="18"/>
      <color indexed="8"/>
      <name val="Cambria"/>
      <family val="1"/>
      <scheme val="major"/>
    </font>
    <font>
      <b/>
      <sz val="11"/>
      <name val="Calibri"/>
      <family val="2"/>
      <scheme val="minor"/>
    </font>
    <font>
      <vertAlign val="superscript"/>
      <sz val="11"/>
      <name val="Calibri"/>
      <family val="2"/>
      <scheme val="minor"/>
    </font>
    <font>
      <sz val="8"/>
      <name val="Calibri"/>
      <family val="2"/>
      <scheme val="minor"/>
    </font>
    <font>
      <sz val="11"/>
      <color rgb="FF000000"/>
      <name val="Calibri"/>
      <family val="2"/>
    </font>
    <font>
      <sz val="11"/>
      <color theme="1"/>
      <name val="Calibri"/>
      <family val="2"/>
      <charset val="1"/>
      <scheme val="minor"/>
    </font>
    <font>
      <b/>
      <sz val="20"/>
      <name val="Garamond"/>
      <family val="1"/>
    </font>
    <font>
      <b/>
      <sz val="12"/>
      <name val="Garamond"/>
      <family val="1"/>
    </font>
    <font>
      <sz val="10"/>
      <name val="Garamond"/>
      <family val="1"/>
    </font>
    <font>
      <sz val="12"/>
      <name val="Garamond"/>
      <family val="1"/>
    </font>
    <font>
      <sz val="11"/>
      <name val="Garamond"/>
      <family val="1"/>
    </font>
    <font>
      <sz val="20"/>
      <name val="Garamond"/>
      <family val="1"/>
    </font>
    <font>
      <b/>
      <sz val="12"/>
      <color theme="1"/>
      <name val="Garamond"/>
      <family val="1"/>
    </font>
    <font>
      <b/>
      <sz val="11"/>
      <name val="Garamond"/>
      <family val="1"/>
    </font>
    <font>
      <b/>
      <sz val="14"/>
      <name val="Garamond"/>
      <family val="1"/>
    </font>
    <font>
      <sz val="10"/>
      <color rgb="FF000000"/>
      <name val="Times New Roman"/>
      <family val="1"/>
    </font>
    <font>
      <sz val="12"/>
      <color rgb="FF000000"/>
      <name val="Garamond"/>
      <family val="1"/>
    </font>
    <font>
      <sz val="12"/>
      <color rgb="FFFF0000"/>
      <name val="Garamond"/>
      <family val="1"/>
    </font>
    <font>
      <sz val="11"/>
      <color theme="1"/>
      <name val="Calibri"/>
      <family val="2"/>
    </font>
    <font>
      <b/>
      <sz val="11"/>
      <color theme="1"/>
      <name val="Calibri"/>
      <family val="2"/>
    </font>
    <font>
      <vertAlign val="superscript"/>
      <sz val="11"/>
      <color theme="1"/>
      <name val="Calibri"/>
      <family val="2"/>
    </font>
    <font>
      <sz val="11"/>
      <color rgb="FFFF0000"/>
      <name val="Calibri"/>
      <family val="2"/>
    </font>
    <font>
      <sz val="11"/>
      <color theme="1"/>
      <name val="Garamond"/>
      <family val="1"/>
    </font>
    <font>
      <b/>
      <sz val="11"/>
      <color theme="1"/>
      <name val="Garamond"/>
      <family val="1"/>
    </font>
    <font>
      <sz val="11"/>
      <name val="Calibri"/>
      <family val="2"/>
    </font>
    <font>
      <b/>
      <sz val="12"/>
      <name val="Calibri"/>
      <family val="2"/>
      <scheme val="minor"/>
    </font>
    <font>
      <sz val="11"/>
      <color rgb="FF0070C0"/>
      <name val="Calibri"/>
      <family val="2"/>
    </font>
    <font>
      <b/>
      <sz val="11"/>
      <color rgb="FF0070C0"/>
      <name val="Calibri"/>
      <family val="2"/>
    </font>
    <font>
      <i/>
      <sz val="11"/>
      <color rgb="FFFF0000"/>
      <name val="Calibri"/>
      <family val="2"/>
    </font>
    <font>
      <b/>
      <sz val="11"/>
      <color rgb="FFFF0000"/>
      <name val="Calibri"/>
      <family val="2"/>
    </font>
    <font>
      <b/>
      <sz val="12"/>
      <color theme="1"/>
      <name val="Calibri"/>
      <family val="2"/>
    </font>
    <font>
      <b/>
      <sz val="18"/>
      <color rgb="FF000000"/>
      <name val="Cambria"/>
      <family val="1"/>
      <scheme val="major"/>
    </font>
    <font>
      <i/>
      <sz val="11"/>
      <name val="Calibri"/>
      <family val="2"/>
    </font>
    <font>
      <i/>
      <sz val="11"/>
      <color theme="1"/>
      <name val="Calibri"/>
      <family val="2"/>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46">
    <border>
      <left/>
      <right/>
      <top/>
      <bottom/>
      <diagonal/>
    </border>
    <border>
      <left style="medium">
        <color indexed="64"/>
      </left>
      <right/>
      <top/>
      <bottom/>
      <diagonal/>
    </border>
    <border>
      <left style="medium">
        <color indexed="64"/>
      </left>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auto="1"/>
      </left>
      <right style="medium">
        <color auto="1"/>
      </right>
      <top/>
      <bottom style="hair">
        <color indexed="64"/>
      </bottom>
      <diagonal/>
    </border>
    <border>
      <left style="medium">
        <color auto="1"/>
      </left>
      <right style="medium">
        <color auto="1"/>
      </right>
      <top style="hair">
        <color indexed="64"/>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auto="1"/>
      </left>
      <right style="medium">
        <color auto="1"/>
      </right>
      <top style="hair">
        <color auto="1"/>
      </top>
      <bottom/>
      <diagonal/>
    </border>
    <border>
      <left style="medium">
        <color indexed="64"/>
      </left>
      <right style="medium">
        <color auto="1"/>
      </right>
      <top style="medium">
        <color indexed="64"/>
      </top>
      <bottom style="hair">
        <color indexed="64"/>
      </bottom>
      <diagonal/>
    </border>
    <border>
      <left style="thick">
        <color auto="1"/>
      </left>
      <right/>
      <top style="thick">
        <color auto="1"/>
      </top>
      <bottom/>
      <diagonal/>
    </border>
    <border>
      <left/>
      <right/>
      <top style="thick">
        <color indexed="64"/>
      </top>
      <bottom/>
      <diagonal/>
    </border>
    <border>
      <left/>
      <right style="thick">
        <color auto="1"/>
      </right>
      <top style="thick">
        <color auto="1"/>
      </top>
      <bottom/>
      <diagonal/>
    </border>
    <border>
      <left style="thick">
        <color indexed="64"/>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hair">
        <color rgb="FF000000"/>
      </top>
      <bottom style="hair">
        <color rgb="FF000000"/>
      </bottom>
      <diagonal/>
    </border>
    <border>
      <left/>
      <right/>
      <top style="hair">
        <color rgb="FF000000"/>
      </top>
      <bottom style="hair">
        <color rgb="FF000000"/>
      </bottom>
      <diagonal/>
    </border>
    <border>
      <left style="medium">
        <color indexed="64"/>
      </left>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medium">
        <color rgb="FF000000"/>
      </right>
      <top style="hair">
        <color rgb="FF000000"/>
      </top>
      <bottom style="hair">
        <color rgb="FF000000"/>
      </bottom>
      <diagonal/>
    </border>
    <border>
      <left style="medium">
        <color rgb="FF000000"/>
      </left>
      <right/>
      <top style="hair">
        <color rgb="FF000000"/>
      </top>
      <bottom style="hair">
        <color rgb="FF000000"/>
      </bottom>
      <diagonal/>
    </border>
    <border>
      <left style="medium">
        <color indexed="64"/>
      </left>
      <right/>
      <top/>
      <bottom style="hair">
        <color indexed="64"/>
      </bottom>
      <diagonal/>
    </border>
    <border>
      <left style="medium">
        <color indexed="64"/>
      </left>
      <right/>
      <top style="hair">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auto="1"/>
      </left>
      <right style="thin">
        <color auto="1"/>
      </right>
      <top style="hair">
        <color auto="1"/>
      </top>
      <bottom style="hair">
        <color auto="1"/>
      </bottom>
      <diagonal/>
    </border>
    <border>
      <left/>
      <right style="medium">
        <color auto="1"/>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bottom style="double">
        <color rgb="FF000000"/>
      </bottom>
      <diagonal/>
    </border>
    <border>
      <left style="thin">
        <color rgb="FF000000"/>
      </left>
      <right style="thin">
        <color rgb="FF000000"/>
      </right>
      <top style="double">
        <color rgb="FF000000"/>
      </top>
      <bottom/>
      <diagonal/>
    </border>
    <border>
      <left/>
      <right style="medium">
        <color indexed="64"/>
      </right>
      <top style="hair">
        <color rgb="FF000000"/>
      </top>
      <bottom style="hair">
        <color rgb="FF000000"/>
      </bottom>
      <diagonal/>
    </border>
  </borders>
  <cellStyleXfs count="63">
    <xf numFmtId="0" fontId="0" fillId="0" borderId="0"/>
    <xf numFmtId="43" fontId="1"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5" fillId="0" borderId="0"/>
    <xf numFmtId="0" fontId="1" fillId="0" borderId="0"/>
    <xf numFmtId="0" fontId="14" fillId="0" borderId="0"/>
    <xf numFmtId="0" fontId="1" fillId="0" borderId="0"/>
    <xf numFmtId="166" fontId="14"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5" fillId="0" borderId="0"/>
    <xf numFmtId="43" fontId="2" fillId="0" borderId="0" applyFont="0" applyFill="0" applyBorder="0" applyAlignment="0" applyProtection="0"/>
    <xf numFmtId="0" fontId="25" fillId="0" borderId="0"/>
  </cellStyleXfs>
  <cellXfs count="231">
    <xf numFmtId="0" fontId="0" fillId="0" borderId="0" xfId="0"/>
    <xf numFmtId="0" fontId="4" fillId="0" borderId="0" xfId="8" applyFont="1"/>
    <xf numFmtId="43" fontId="6" fillId="0" borderId="6" xfId="1" applyFont="1" applyFill="1" applyBorder="1" applyAlignment="1">
      <alignment wrapText="1"/>
    </xf>
    <xf numFmtId="0" fontId="9" fillId="0" borderId="7" xfId="8" applyFont="1" applyBorder="1"/>
    <xf numFmtId="0" fontId="7" fillId="0" borderId="8" xfId="8" applyFont="1" applyBorder="1" applyAlignment="1">
      <alignment horizontal="center"/>
    </xf>
    <xf numFmtId="43" fontId="8" fillId="0" borderId="10" xfId="1" applyFont="1" applyBorder="1" applyAlignment="1"/>
    <xf numFmtId="0" fontId="7" fillId="0" borderId="0" xfId="8" applyFont="1" applyAlignment="1">
      <alignment horizontal="right"/>
    </xf>
    <xf numFmtId="0" fontId="7" fillId="0" borderId="11" xfId="8" applyFont="1" applyBorder="1" applyAlignment="1">
      <alignment horizontal="center"/>
    </xf>
    <xf numFmtId="43" fontId="7" fillId="0" borderId="12" xfId="1" applyFont="1" applyFill="1" applyBorder="1" applyAlignment="1"/>
    <xf numFmtId="0" fontId="6" fillId="0" borderId="0" xfId="0" applyFont="1"/>
    <xf numFmtId="43" fontId="6" fillId="0" borderId="0" xfId="1" applyFont="1" applyFill="1" applyBorder="1" applyAlignment="1"/>
    <xf numFmtId="0" fontId="0" fillId="2" borderId="0" xfId="0" applyFill="1"/>
    <xf numFmtId="43" fontId="6" fillId="0" borderId="6" xfId="1" applyFont="1" applyFill="1" applyBorder="1" applyAlignment="1"/>
    <xf numFmtId="43" fontId="6" fillId="0" borderId="2" xfId="1" applyFont="1" applyFill="1" applyBorder="1" applyAlignment="1">
      <alignment wrapText="1"/>
    </xf>
    <xf numFmtId="0" fontId="3" fillId="0" borderId="0" xfId="8" applyFont="1" applyAlignment="1">
      <alignment horizontal="center"/>
    </xf>
    <xf numFmtId="0" fontId="6" fillId="0" borderId="1" xfId="0" applyFont="1" applyBorder="1" applyAlignment="1">
      <alignment horizontal="left" vertical="center"/>
    </xf>
    <xf numFmtId="49" fontId="11" fillId="3" borderId="3" xfId="0" applyNumberFormat="1" applyFont="1" applyFill="1" applyBorder="1" applyAlignment="1">
      <alignment horizontal="left" vertical="top" wrapText="1"/>
    </xf>
    <xf numFmtId="0" fontId="11" fillId="3" borderId="3" xfId="0" applyFont="1" applyFill="1" applyBorder="1" applyAlignment="1">
      <alignment horizontal="center" vertical="center" wrapText="1"/>
    </xf>
    <xf numFmtId="0" fontId="11" fillId="0" borderId="6" xfId="0" applyFont="1" applyBorder="1" applyAlignment="1">
      <alignment horizontal="left" vertical="center"/>
    </xf>
    <xf numFmtId="164" fontId="6" fillId="0" borderId="6" xfId="0" applyNumberFormat="1" applyFont="1" applyBorder="1" applyAlignment="1">
      <alignment horizontal="left"/>
    </xf>
    <xf numFmtId="43" fontId="11" fillId="0" borderId="6" xfId="1" applyFont="1" applyFill="1" applyBorder="1" applyAlignment="1" applyProtection="1"/>
    <xf numFmtId="43" fontId="11" fillId="0" borderId="6" xfId="1" applyFont="1" applyFill="1" applyBorder="1" applyAlignment="1" applyProtection="1">
      <alignment horizontal="left"/>
    </xf>
    <xf numFmtId="43" fontId="11" fillId="0" borderId="6" xfId="1" applyFont="1" applyFill="1" applyBorder="1" applyAlignment="1">
      <alignment horizontal="left"/>
    </xf>
    <xf numFmtId="0" fontId="11" fillId="0" borderId="0" xfId="0" applyFont="1" applyAlignment="1">
      <alignment horizontal="left"/>
    </xf>
    <xf numFmtId="0" fontId="6" fillId="0" borderId="6" xfId="5" applyFont="1" applyBorder="1" applyAlignment="1">
      <alignment horizontal="center" wrapText="1"/>
    </xf>
    <xf numFmtId="0" fontId="11" fillId="0" borderId="6" xfId="0" applyFont="1" applyBorder="1" applyAlignment="1">
      <alignment horizontal="left" vertical="center" wrapText="1"/>
    </xf>
    <xf numFmtId="43" fontId="4" fillId="0" borderId="0" xfId="8" applyNumberFormat="1" applyFont="1"/>
    <xf numFmtId="0" fontId="6" fillId="3" borderId="3" xfId="0" applyFont="1" applyFill="1" applyBorder="1" applyAlignment="1">
      <alignment horizontal="center" vertical="center" wrapText="1"/>
    </xf>
    <xf numFmtId="43" fontId="11" fillId="3" borderId="3" xfId="1" applyFont="1" applyFill="1" applyBorder="1" applyAlignment="1">
      <alignment horizontal="center" vertical="center" wrapText="1"/>
    </xf>
    <xf numFmtId="0" fontId="6" fillId="0" borderId="6" xfId="0" applyFont="1" applyBorder="1" applyAlignment="1">
      <alignment horizontal="center"/>
    </xf>
    <xf numFmtId="43" fontId="6" fillId="0" borderId="0" xfId="1" applyFont="1" applyBorder="1"/>
    <xf numFmtId="43" fontId="6" fillId="0" borderId="0" xfId="1" applyFont="1" applyFill="1" applyBorder="1"/>
    <xf numFmtId="0" fontId="6" fillId="2" borderId="0" xfId="0" applyFont="1" applyFill="1"/>
    <xf numFmtId="0" fontId="6" fillId="0" borderId="0" xfId="0" applyFont="1" applyAlignment="1">
      <alignment horizontal="center"/>
    </xf>
    <xf numFmtId="43" fontId="11" fillId="3" borderId="3" xfId="1" applyFont="1" applyFill="1" applyBorder="1" applyAlignment="1">
      <alignment vertical="center" wrapText="1"/>
    </xf>
    <xf numFmtId="43" fontId="4" fillId="0" borderId="0" xfId="1" applyFont="1"/>
    <xf numFmtId="49" fontId="11" fillId="0" borderId="6" xfId="0" quotePrefix="1" applyNumberFormat="1" applyFont="1" applyBorder="1" applyAlignment="1">
      <alignment horizontal="center" vertical="top"/>
    </xf>
    <xf numFmtId="49" fontId="11" fillId="0" borderId="6" xfId="0" quotePrefix="1" applyNumberFormat="1" applyFont="1" applyBorder="1" applyAlignment="1">
      <alignment horizontal="right" vertical="top"/>
    </xf>
    <xf numFmtId="0" fontId="6" fillId="0" borderId="2" xfId="0" applyFont="1" applyBorder="1" applyAlignment="1">
      <alignment vertical="top" wrapText="1"/>
    </xf>
    <xf numFmtId="0" fontId="17" fillId="0" borderId="0" xfId="33" applyFont="1"/>
    <xf numFmtId="0" fontId="18" fillId="4" borderId="18" xfId="7" applyFont="1" applyFill="1" applyBorder="1"/>
    <xf numFmtId="0" fontId="18" fillId="4" borderId="0" xfId="7" applyFont="1" applyFill="1"/>
    <xf numFmtId="0" fontId="18" fillId="4" borderId="19" xfId="7" applyFont="1" applyFill="1" applyBorder="1"/>
    <xf numFmtId="0" fontId="19" fillId="4" borderId="20" xfId="7" applyFont="1" applyFill="1" applyBorder="1"/>
    <xf numFmtId="0" fontId="19" fillId="4" borderId="21" xfId="7" applyFont="1" applyFill="1" applyBorder="1"/>
    <xf numFmtId="0" fontId="19" fillId="4" borderId="22" xfId="7" applyFont="1" applyFill="1" applyBorder="1"/>
    <xf numFmtId="0" fontId="20" fillId="4" borderId="15" xfId="7" applyFont="1" applyFill="1" applyBorder="1"/>
    <xf numFmtId="0" fontId="20" fillId="4" borderId="16" xfId="7" applyFont="1" applyFill="1" applyBorder="1"/>
    <xf numFmtId="0" fontId="20" fillId="4" borderId="17" xfId="7" applyFont="1" applyFill="1" applyBorder="1"/>
    <xf numFmtId="0" fontId="20" fillId="4" borderId="20" xfId="7" applyFont="1" applyFill="1" applyBorder="1"/>
    <xf numFmtId="0" fontId="20" fillId="4" borderId="21" xfId="7" applyFont="1" applyFill="1" applyBorder="1"/>
    <xf numFmtId="0" fontId="20" fillId="4" borderId="22" xfId="7" applyFont="1" applyFill="1" applyBorder="1"/>
    <xf numFmtId="0" fontId="20" fillId="4" borderId="15" xfId="7" applyFont="1" applyFill="1" applyBorder="1" applyAlignment="1">
      <alignment horizontal="center"/>
    </xf>
    <xf numFmtId="0" fontId="20" fillId="4" borderId="16" xfId="7" applyFont="1" applyFill="1" applyBorder="1" applyAlignment="1">
      <alignment horizontal="center"/>
    </xf>
    <xf numFmtId="0" fontId="20" fillId="4" borderId="17" xfId="7" applyFont="1" applyFill="1" applyBorder="1" applyAlignment="1">
      <alignment horizontal="center"/>
    </xf>
    <xf numFmtId="0" fontId="22" fillId="0" borderId="0" xfId="33" applyFont="1"/>
    <xf numFmtId="0" fontId="20" fillId="4" borderId="20" xfId="7" applyFont="1" applyFill="1" applyBorder="1" applyAlignment="1">
      <alignment horizontal="center"/>
    </xf>
    <xf numFmtId="0" fontId="20" fillId="4" borderId="21" xfId="7" applyFont="1" applyFill="1" applyBorder="1" applyAlignment="1">
      <alignment horizontal="center"/>
    </xf>
    <xf numFmtId="0" fontId="20" fillId="4" borderId="22" xfId="7" applyFont="1" applyFill="1" applyBorder="1" applyAlignment="1">
      <alignment horizontal="center"/>
    </xf>
    <xf numFmtId="0" fontId="23" fillId="0" borderId="0" xfId="33" applyFont="1"/>
    <xf numFmtId="0" fontId="19" fillId="4" borderId="15" xfId="7" applyFont="1" applyFill="1" applyBorder="1" applyAlignment="1">
      <alignment horizontal="left"/>
    </xf>
    <xf numFmtId="0" fontId="19" fillId="4" borderId="16" xfId="7" applyFont="1" applyFill="1" applyBorder="1" applyAlignment="1">
      <alignment horizontal="left"/>
    </xf>
    <xf numFmtId="0" fontId="19" fillId="4" borderId="17" xfId="7" applyFont="1" applyFill="1" applyBorder="1" applyAlignment="1">
      <alignment horizontal="left"/>
    </xf>
    <xf numFmtId="0" fontId="18" fillId="4" borderId="18" xfId="7" applyFont="1" applyFill="1" applyBorder="1" applyAlignment="1">
      <alignment horizontal="left"/>
    </xf>
    <xf numFmtId="0" fontId="18" fillId="4" borderId="0" xfId="7" applyFont="1" applyFill="1" applyAlignment="1">
      <alignment horizontal="left"/>
    </xf>
    <xf numFmtId="0" fontId="18" fillId="4" borderId="19" xfId="7" applyFont="1" applyFill="1" applyBorder="1" applyAlignment="1">
      <alignment horizontal="left"/>
    </xf>
    <xf numFmtId="0" fontId="23" fillId="0" borderId="0" xfId="33" applyFont="1" applyAlignment="1">
      <alignment wrapText="1"/>
    </xf>
    <xf numFmtId="0" fontId="19" fillId="0" borderId="0" xfId="62" applyFont="1" applyAlignment="1">
      <alignment vertical="top" wrapText="1"/>
    </xf>
    <xf numFmtId="0" fontId="26" fillId="0" borderId="0" xfId="62" applyFont="1" applyAlignment="1">
      <alignment vertical="top"/>
    </xf>
    <xf numFmtId="0" fontId="17" fillId="0" borderId="0" xfId="62" applyFont="1" applyAlignment="1">
      <alignment vertical="top" wrapText="1"/>
    </xf>
    <xf numFmtId="0" fontId="26" fillId="0" borderId="0" xfId="62" applyFont="1" applyAlignment="1">
      <alignment vertical="top" wrapText="1"/>
    </xf>
    <xf numFmtId="0" fontId="28" fillId="0" borderId="26" xfId="0" applyFont="1" applyBorder="1" applyAlignment="1">
      <alignment horizontal="left" vertical="top" wrapText="1"/>
    </xf>
    <xf numFmtId="0" fontId="29" fillId="0" borderId="25" xfId="0" quotePrefix="1" applyFont="1" applyBorder="1" applyAlignment="1">
      <alignment horizontal="center" vertical="top"/>
    </xf>
    <xf numFmtId="0" fontId="29" fillId="0" borderId="28" xfId="0" applyFont="1" applyBorder="1" applyAlignment="1">
      <alignment horizontal="left" vertical="center"/>
    </xf>
    <xf numFmtId="164" fontId="28" fillId="0" borderId="29" xfId="0" applyNumberFormat="1" applyFont="1" applyBorder="1" applyAlignment="1">
      <alignment horizontal="left"/>
    </xf>
    <xf numFmtId="43" fontId="29" fillId="0" borderId="29" xfId="0" applyNumberFormat="1" applyFont="1" applyBorder="1"/>
    <xf numFmtId="43" fontId="29" fillId="0" borderId="29" xfId="0" applyNumberFormat="1" applyFont="1" applyBorder="1" applyAlignment="1">
      <alignment horizontal="left"/>
    </xf>
    <xf numFmtId="0" fontId="29" fillId="0" borderId="0" xfId="0" applyFont="1" applyAlignment="1">
      <alignment horizontal="left"/>
    </xf>
    <xf numFmtId="0" fontId="28" fillId="0" borderId="28" xfId="0" applyFont="1" applyBorder="1" applyAlignment="1">
      <alignment horizontal="left" vertical="top" wrapText="1"/>
    </xf>
    <xf numFmtId="0" fontId="28" fillId="0" borderId="29" xfId="0" applyFont="1" applyBorder="1" applyAlignment="1">
      <alignment horizontal="center"/>
    </xf>
    <xf numFmtId="43" fontId="28" fillId="0" borderId="29" xfId="0" applyNumberFormat="1" applyFont="1" applyBorder="1"/>
    <xf numFmtId="43" fontId="28" fillId="0" borderId="29" xfId="0" applyNumberFormat="1" applyFont="1" applyBorder="1" applyAlignment="1">
      <alignment wrapText="1"/>
    </xf>
    <xf numFmtId="0" fontId="28" fillId="0" borderId="0" xfId="0" applyFont="1"/>
    <xf numFmtId="43" fontId="28" fillId="0" borderId="26" xfId="0" applyNumberFormat="1" applyFont="1" applyBorder="1" applyAlignment="1">
      <alignment wrapText="1"/>
    </xf>
    <xf numFmtId="0" fontId="29" fillId="0" borderId="0" xfId="0" applyFont="1"/>
    <xf numFmtId="164" fontId="29" fillId="0" borderId="26" xfId="0" applyNumberFormat="1" applyFont="1" applyBorder="1" applyAlignment="1">
      <alignment vertical="top" wrapText="1"/>
    </xf>
    <xf numFmtId="49" fontId="6" fillId="0" borderId="13" xfId="0" quotePrefix="1" applyNumberFormat="1" applyFont="1" applyBorder="1" applyAlignment="1">
      <alignment horizontal="center" vertical="top"/>
    </xf>
    <xf numFmtId="164" fontId="6" fillId="0" borderId="5" xfId="0" applyNumberFormat="1" applyFont="1" applyBorder="1" applyAlignment="1">
      <alignment horizontal="left"/>
    </xf>
    <xf numFmtId="43" fontId="6" fillId="0" borderId="5" xfId="1" applyFont="1" applyFill="1" applyBorder="1" applyAlignment="1" applyProtection="1"/>
    <xf numFmtId="43" fontId="6" fillId="0" borderId="32" xfId="1" applyFont="1" applyFill="1" applyBorder="1" applyAlignment="1" applyProtection="1">
      <alignment horizontal="left"/>
    </xf>
    <xf numFmtId="43" fontId="6" fillId="0" borderId="13" xfId="1" applyFont="1" applyFill="1" applyBorder="1" applyAlignment="1">
      <alignment horizontal="left"/>
    </xf>
    <xf numFmtId="43" fontId="28" fillId="0" borderId="0" xfId="0" applyNumberFormat="1" applyFont="1"/>
    <xf numFmtId="0" fontId="32" fillId="0" borderId="0" xfId="0" applyFont="1"/>
    <xf numFmtId="49" fontId="28" fillId="0" borderId="25" xfId="0" applyNumberFormat="1" applyFont="1" applyBorder="1" applyAlignment="1">
      <alignment horizontal="center" vertical="top" wrapText="1"/>
    </xf>
    <xf numFmtId="49" fontId="28" fillId="0" borderId="25" xfId="0" applyNumberFormat="1" applyFont="1" applyBorder="1" applyAlignment="1">
      <alignment horizontal="center" vertical="top"/>
    </xf>
    <xf numFmtId="0" fontId="11" fillId="0" borderId="3" xfId="0" applyFont="1" applyBorder="1" applyAlignment="1">
      <alignment horizontal="right" vertical="center"/>
    </xf>
    <xf numFmtId="164" fontId="6" fillId="0" borderId="3" xfId="0" applyNumberFormat="1" applyFont="1" applyBorder="1" applyAlignment="1">
      <alignment horizontal="left"/>
    </xf>
    <xf numFmtId="43" fontId="11" fillId="0" borderId="3" xfId="1" applyFont="1" applyFill="1" applyBorder="1" applyAlignment="1" applyProtection="1"/>
    <xf numFmtId="43" fontId="11" fillId="0" borderId="3" xfId="1" applyFont="1" applyFill="1" applyBorder="1" applyAlignment="1" applyProtection="1">
      <alignment horizontal="left"/>
    </xf>
    <xf numFmtId="43" fontId="11" fillId="0" borderId="3" xfId="1" applyFont="1" applyFill="1" applyBorder="1" applyAlignment="1">
      <alignment horizontal="left"/>
    </xf>
    <xf numFmtId="0" fontId="11" fillId="0" borderId="6" xfId="0" applyFont="1" applyBorder="1" applyAlignment="1">
      <alignment horizontal="left" vertical="top"/>
    </xf>
    <xf numFmtId="164" fontId="6" fillId="0" borderId="6" xfId="0" applyNumberFormat="1" applyFont="1" applyBorder="1" applyAlignment="1">
      <alignment horizontal="left" vertical="top"/>
    </xf>
    <xf numFmtId="43" fontId="11" fillId="0" borderId="6" xfId="1" applyFont="1" applyFill="1" applyBorder="1" applyAlignment="1" applyProtection="1">
      <alignment vertical="top"/>
    </xf>
    <xf numFmtId="43" fontId="11" fillId="0" borderId="6" xfId="1" applyFont="1" applyFill="1" applyBorder="1" applyAlignment="1" applyProtection="1">
      <alignment horizontal="left" vertical="top"/>
    </xf>
    <xf numFmtId="43" fontId="11" fillId="0" borderId="6" xfId="1" applyFont="1" applyFill="1" applyBorder="1" applyAlignment="1">
      <alignment horizontal="left" vertical="top"/>
    </xf>
    <xf numFmtId="0" fontId="28" fillId="0" borderId="29" xfId="0" applyFont="1" applyBorder="1" applyAlignment="1">
      <alignment horizontal="center" vertical="top"/>
    </xf>
    <xf numFmtId="43" fontId="28" fillId="0" borderId="29" xfId="0" applyNumberFormat="1" applyFont="1" applyBorder="1" applyAlignment="1">
      <alignment vertical="top" wrapText="1"/>
    </xf>
    <xf numFmtId="43" fontId="29" fillId="0" borderId="3" xfId="0" applyNumberFormat="1" applyFont="1" applyBorder="1" applyAlignment="1">
      <alignment horizontal="right"/>
    </xf>
    <xf numFmtId="0" fontId="28" fillId="0" borderId="33" xfId="0" applyFont="1" applyBorder="1"/>
    <xf numFmtId="43" fontId="29" fillId="0" borderId="3" xfId="0" applyNumberFormat="1" applyFont="1" applyBorder="1"/>
    <xf numFmtId="0" fontId="0" fillId="0" borderId="3" xfId="0" applyBorder="1"/>
    <xf numFmtId="43" fontId="29" fillId="0" borderId="34" xfId="0" applyNumberFormat="1" applyFont="1" applyBorder="1"/>
    <xf numFmtId="49" fontId="11" fillId="0" borderId="14" xfId="0" quotePrefix="1" applyNumberFormat="1" applyFont="1" applyBorder="1" applyAlignment="1">
      <alignment horizontal="center" vertical="top"/>
    </xf>
    <xf numFmtId="0" fontId="11" fillId="0" borderId="14" xfId="0" applyFont="1" applyBorder="1" applyAlignment="1">
      <alignment horizontal="left" vertical="center"/>
    </xf>
    <xf numFmtId="164" fontId="6" fillId="0" borderId="14" xfId="0" applyNumberFormat="1" applyFont="1" applyBorder="1" applyAlignment="1">
      <alignment horizontal="left"/>
    </xf>
    <xf numFmtId="43" fontId="11" fillId="0" borderId="14" xfId="1" applyFont="1" applyFill="1" applyBorder="1" applyAlignment="1" applyProtection="1"/>
    <xf numFmtId="43" fontId="11" fillId="0" borderId="14" xfId="1" applyFont="1" applyFill="1" applyBorder="1" applyAlignment="1" applyProtection="1">
      <alignment horizontal="left"/>
    </xf>
    <xf numFmtId="43" fontId="11" fillId="0" borderId="14" xfId="1" applyFont="1" applyFill="1" applyBorder="1" applyAlignment="1">
      <alignment horizontal="left"/>
    </xf>
    <xf numFmtId="49" fontId="11" fillId="0" borderId="13" xfId="0" quotePrefix="1" applyNumberFormat="1" applyFont="1" applyBorder="1" applyAlignment="1">
      <alignment horizontal="center" vertical="top"/>
    </xf>
    <xf numFmtId="0" fontId="6" fillId="0" borderId="31" xfId="0" applyFont="1" applyBorder="1" applyAlignment="1">
      <alignment horizontal="left" vertical="top" wrapText="1"/>
    </xf>
    <xf numFmtId="43" fontId="11" fillId="0" borderId="5" xfId="1" applyFont="1" applyFill="1" applyBorder="1" applyAlignment="1" applyProtection="1"/>
    <xf numFmtId="43" fontId="11" fillId="0" borderId="32" xfId="1" applyFont="1" applyFill="1" applyBorder="1" applyAlignment="1" applyProtection="1">
      <alignment horizontal="left"/>
    </xf>
    <xf numFmtId="43" fontId="11" fillId="0" borderId="13" xfId="1" applyFont="1" applyFill="1" applyBorder="1" applyAlignment="1">
      <alignment horizontal="left"/>
    </xf>
    <xf numFmtId="0" fontId="33" fillId="0" borderId="35" xfId="0" applyFont="1" applyBorder="1" applyAlignment="1">
      <alignment horizontal="center" vertical="center"/>
    </xf>
    <xf numFmtId="0" fontId="6" fillId="0" borderId="6" xfId="0" applyFont="1" applyBorder="1" applyAlignment="1">
      <alignment horizontal="left" vertical="top" wrapText="1" indent="2"/>
    </xf>
    <xf numFmtId="0" fontId="6" fillId="0" borderId="6" xfId="0" applyFont="1" applyBorder="1" applyAlignment="1">
      <alignment horizontal="center" wrapText="1"/>
    </xf>
    <xf numFmtId="0" fontId="11" fillId="0" borderId="6" xfId="0" applyFont="1" applyBorder="1" applyAlignment="1">
      <alignment horizontal="left" vertical="top" wrapText="1"/>
    </xf>
    <xf numFmtId="49" fontId="6" fillId="0" borderId="6" xfId="0" applyNumberFormat="1" applyFont="1" applyBorder="1" applyAlignment="1">
      <alignment horizontal="center" vertical="top" wrapText="1"/>
    </xf>
    <xf numFmtId="0" fontId="6" fillId="0" borderId="6" xfId="0" applyFont="1" applyBorder="1" applyAlignment="1">
      <alignment horizontal="left" vertical="top" wrapText="1"/>
    </xf>
    <xf numFmtId="43" fontId="6" fillId="0" borderId="6" xfId="1" applyFont="1" applyFill="1" applyBorder="1" applyAlignment="1" applyProtection="1">
      <alignment wrapText="1"/>
    </xf>
    <xf numFmtId="0" fontId="6" fillId="2" borderId="0" xfId="0" applyFont="1" applyFill="1" applyAlignment="1">
      <alignment wrapText="1"/>
    </xf>
    <xf numFmtId="43" fontId="11" fillId="0" borderId="0" xfId="0" applyNumberFormat="1" applyFont="1" applyAlignment="1">
      <alignment horizontal="left"/>
    </xf>
    <xf numFmtId="0" fontId="35" fillId="0" borderId="36" xfId="8" applyFont="1" applyBorder="1" applyAlignment="1">
      <alignment vertical="center" wrapText="1"/>
    </xf>
    <xf numFmtId="0" fontId="6" fillId="0" borderId="14" xfId="8" applyFont="1" applyBorder="1" applyAlignment="1">
      <alignment horizontal="center" vertical="center"/>
    </xf>
    <xf numFmtId="1" fontId="6" fillId="0" borderId="14" xfId="8" applyNumberFormat="1" applyFont="1" applyBorder="1" applyAlignment="1">
      <alignment horizontal="center" vertical="center"/>
    </xf>
    <xf numFmtId="43" fontId="6" fillId="0" borderId="14" xfId="55" applyFont="1" applyBorder="1" applyAlignment="1">
      <alignment horizontal="center" vertical="center"/>
    </xf>
    <xf numFmtId="4" fontId="6" fillId="0" borderId="14" xfId="8" applyNumberFormat="1" applyFont="1" applyBorder="1" applyAlignment="1">
      <alignment horizontal="center" vertical="center"/>
    </xf>
    <xf numFmtId="0" fontId="28" fillId="0" borderId="37" xfId="50" applyFont="1" applyBorder="1" applyAlignment="1">
      <alignment horizontal="center" vertical="top"/>
    </xf>
    <xf numFmtId="0" fontId="28" fillId="0" borderId="24" xfId="50" applyFont="1" applyBorder="1" applyAlignment="1">
      <alignment vertical="top" wrapText="1"/>
    </xf>
    <xf numFmtId="4" fontId="28" fillId="0" borderId="0" xfId="50" applyNumberFormat="1" applyFont="1" applyAlignment="1">
      <alignment horizontal="right"/>
    </xf>
    <xf numFmtId="0" fontId="28" fillId="0" borderId="0" xfId="50" applyFont="1"/>
    <xf numFmtId="0" fontId="1" fillId="0" borderId="0" xfId="50"/>
    <xf numFmtId="0" fontId="29" fillId="0" borderId="24" xfId="50" applyFont="1" applyBorder="1" applyAlignment="1">
      <alignment horizontal="left" wrapText="1"/>
    </xf>
    <xf numFmtId="43" fontId="28" fillId="0" borderId="0" xfId="50" applyNumberFormat="1" applyFont="1" applyAlignment="1">
      <alignment horizontal="center"/>
    </xf>
    <xf numFmtId="0" fontId="28" fillId="0" borderId="37" xfId="50" applyFont="1" applyBorder="1" applyAlignment="1">
      <alignment horizontal="center" vertical="top" wrapText="1"/>
    </xf>
    <xf numFmtId="0" fontId="28" fillId="0" borderId="24" xfId="50" applyFont="1" applyBorder="1" applyAlignment="1">
      <alignment horizontal="left" vertical="top" wrapText="1"/>
    </xf>
    <xf numFmtId="0" fontId="29" fillId="0" borderId="37" xfId="50" applyFont="1" applyBorder="1" applyAlignment="1">
      <alignment horizontal="center" vertical="top" wrapText="1"/>
    </xf>
    <xf numFmtId="0" fontId="29" fillId="0" borderId="39" xfId="0" applyFont="1" applyBorder="1"/>
    <xf numFmtId="0" fontId="28" fillId="0" borderId="40" xfId="0" applyFont="1" applyBorder="1" applyAlignment="1">
      <alignment horizontal="center"/>
    </xf>
    <xf numFmtId="0" fontId="28" fillId="0" borderId="40" xfId="0" applyFont="1" applyBorder="1"/>
    <xf numFmtId="0" fontId="29" fillId="0" borderId="40" xfId="0" applyFont="1" applyBorder="1" applyAlignment="1">
      <alignment horizontal="center"/>
    </xf>
    <xf numFmtId="0" fontId="28" fillId="0" borderId="41" xfId="0" applyFont="1" applyBorder="1"/>
    <xf numFmtId="0" fontId="29" fillId="0" borderId="43" xfId="0" applyFont="1" applyBorder="1"/>
    <xf numFmtId="0" fontId="28" fillId="0" borderId="40" xfId="0" applyFont="1" applyBorder="1" applyAlignment="1">
      <alignment horizontal="center" vertical="center"/>
    </xf>
    <xf numFmtId="0" fontId="38" fillId="0" borderId="40" xfId="0" applyFont="1" applyBorder="1"/>
    <xf numFmtId="0" fontId="40" fillId="0" borderId="40" xfId="0" applyFont="1" applyBorder="1"/>
    <xf numFmtId="0" fontId="34" fillId="0" borderId="41" xfId="0" applyFont="1" applyBorder="1"/>
    <xf numFmtId="0" fontId="29" fillId="0" borderId="42" xfId="0" applyFont="1" applyBorder="1"/>
    <xf numFmtId="0" fontId="29" fillId="0" borderId="40" xfId="0" applyFont="1" applyBorder="1"/>
    <xf numFmtId="0" fontId="28" fillId="0" borderId="44" xfId="0" applyFont="1" applyBorder="1"/>
    <xf numFmtId="0" fontId="29" fillId="0" borderId="40" xfId="0" applyFont="1" applyBorder="1" applyAlignment="1">
      <alignment horizontal="left"/>
    </xf>
    <xf numFmtId="2" fontId="28" fillId="0" borderId="40" xfId="0" applyNumberFormat="1" applyFont="1" applyBorder="1"/>
    <xf numFmtId="2" fontId="29" fillId="0" borderId="40" xfId="0" applyNumberFormat="1" applyFont="1" applyBorder="1"/>
    <xf numFmtId="2" fontId="39" fillId="0" borderId="40" xfId="0" applyNumberFormat="1" applyFont="1" applyBorder="1"/>
    <xf numFmtId="2" fontId="37" fillId="0" borderId="40" xfId="0" applyNumberFormat="1" applyFont="1" applyBorder="1"/>
    <xf numFmtId="2" fontId="31" fillId="0" borderId="40" xfId="0" applyNumberFormat="1" applyFont="1" applyBorder="1"/>
    <xf numFmtId="2" fontId="36" fillId="0" borderId="40" xfId="0" applyNumberFormat="1" applyFont="1" applyBorder="1"/>
    <xf numFmtId="0" fontId="11" fillId="0" borderId="31" xfId="0" applyFont="1" applyBorder="1" applyAlignment="1">
      <alignment horizontal="left" vertical="top" wrapText="1"/>
    </xf>
    <xf numFmtId="0" fontId="6" fillId="0" borderId="0" xfId="0" applyFont="1" applyAlignment="1">
      <alignment horizontal="left"/>
    </xf>
    <xf numFmtId="164" fontId="6" fillId="0" borderId="5" xfId="0" applyNumberFormat="1" applyFont="1" applyBorder="1" applyAlignment="1">
      <alignment horizontal="left" vertical="top"/>
    </xf>
    <xf numFmtId="43" fontId="6" fillId="0" borderId="5" xfId="1" applyFont="1" applyFill="1" applyBorder="1" applyAlignment="1" applyProtection="1">
      <alignment horizontal="left" vertical="top"/>
    </xf>
    <xf numFmtId="0" fontId="6" fillId="0" borderId="0" xfId="0" applyFont="1" applyAlignment="1">
      <alignment horizontal="left" vertical="top"/>
    </xf>
    <xf numFmtId="0" fontId="29" fillId="0" borderId="28" xfId="0" applyFont="1" applyBorder="1" applyAlignment="1">
      <alignment horizontal="left" vertical="top"/>
    </xf>
    <xf numFmtId="164" fontId="28" fillId="0" borderId="29" xfId="0" applyNumberFormat="1" applyFont="1" applyBorder="1" applyAlignment="1">
      <alignment horizontal="left" vertical="top"/>
    </xf>
    <xf numFmtId="43" fontId="29" fillId="0" borderId="29" xfId="0" applyNumberFormat="1" applyFont="1" applyBorder="1" applyAlignment="1">
      <alignment vertical="top"/>
    </xf>
    <xf numFmtId="43" fontId="29" fillId="0" borderId="29" xfId="0" applyNumberFormat="1" applyFont="1" applyBorder="1" applyAlignment="1">
      <alignment horizontal="left" vertical="top"/>
    </xf>
    <xf numFmtId="43" fontId="28" fillId="0" borderId="29" xfId="0" applyNumberFormat="1" applyFont="1" applyBorder="1" applyAlignment="1">
      <alignment vertical="top"/>
    </xf>
    <xf numFmtId="43" fontId="28" fillId="0" borderId="30" xfId="0" applyNumberFormat="1" applyFont="1" applyBorder="1" applyAlignment="1">
      <alignment vertical="top" wrapText="1"/>
    </xf>
    <xf numFmtId="0" fontId="6" fillId="0" borderId="6" xfId="0" applyFont="1" applyBorder="1" applyAlignment="1">
      <alignment vertical="top" wrapText="1"/>
    </xf>
    <xf numFmtId="43" fontId="31" fillId="0" borderId="0" xfId="50" applyNumberFormat="1" applyFont="1" applyAlignment="1">
      <alignment horizontal="center"/>
    </xf>
    <xf numFmtId="0" fontId="28" fillId="0" borderId="38" xfId="50" applyFont="1" applyBorder="1" applyAlignment="1">
      <alignment horizontal="center" vertical="top" wrapText="1"/>
    </xf>
    <xf numFmtId="0" fontId="29" fillId="0" borderId="26" xfId="0" applyFont="1" applyBorder="1" applyAlignment="1">
      <alignment horizontal="left" wrapText="1"/>
    </xf>
    <xf numFmtId="0" fontId="28" fillId="0" borderId="27" xfId="0" applyFont="1" applyBorder="1" applyAlignment="1">
      <alignment horizontal="center" vertical="center"/>
    </xf>
    <xf numFmtId="167" fontId="28" fillId="0" borderId="25" xfId="0" applyNumberFormat="1" applyFont="1" applyBorder="1" applyAlignment="1">
      <alignment horizontal="center" vertical="center"/>
    </xf>
    <xf numFmtId="43" fontId="28" fillId="0" borderId="45" xfId="0" applyNumberFormat="1" applyFont="1" applyBorder="1" applyAlignment="1">
      <alignment horizontal="center" vertical="center"/>
    </xf>
    <xf numFmtId="43" fontId="28" fillId="0" borderId="0" xfId="0" applyNumberFormat="1" applyFont="1" applyAlignment="1">
      <alignment horizontal="center"/>
    </xf>
    <xf numFmtId="0" fontId="28" fillId="0" borderId="25" xfId="0" applyFont="1" applyBorder="1" applyAlignment="1">
      <alignment horizontal="center" vertical="top" wrapText="1"/>
    </xf>
    <xf numFmtId="0" fontId="29" fillId="0" borderId="28" xfId="0" applyFont="1" applyBorder="1" applyAlignment="1">
      <alignment horizontal="left" vertical="top" wrapText="1"/>
    </xf>
    <xf numFmtId="164" fontId="6" fillId="0" borderId="5" xfId="0" applyNumberFormat="1" applyFont="1" applyBorder="1" applyAlignment="1">
      <alignment horizontal="center"/>
    </xf>
    <xf numFmtId="0" fontId="42" fillId="0" borderId="40" xfId="0" applyFont="1" applyBorder="1"/>
    <xf numFmtId="164" fontId="28" fillId="0" borderId="29" xfId="0" applyNumberFormat="1" applyFont="1" applyBorder="1" applyAlignment="1">
      <alignment horizontal="center" vertical="top" wrapText="1"/>
    </xf>
    <xf numFmtId="49" fontId="11" fillId="0" borderId="3" xfId="0" quotePrefix="1" applyNumberFormat="1" applyFont="1" applyBorder="1" applyAlignment="1">
      <alignment horizontal="right" vertical="top"/>
    </xf>
    <xf numFmtId="0" fontId="6" fillId="0" borderId="13" xfId="0" applyFont="1" applyBorder="1" applyAlignment="1">
      <alignment horizontal="center" vertical="center"/>
    </xf>
    <xf numFmtId="0" fontId="20" fillId="4" borderId="15" xfId="7" applyFont="1" applyFill="1" applyBorder="1" applyAlignment="1">
      <alignment horizontal="center"/>
    </xf>
    <xf numFmtId="0" fontId="20" fillId="4" borderId="16" xfId="7" applyFont="1" applyFill="1" applyBorder="1" applyAlignment="1">
      <alignment horizontal="center"/>
    </xf>
    <xf numFmtId="0" fontId="20" fillId="4" borderId="18" xfId="7" applyFont="1" applyFill="1" applyBorder="1" applyAlignment="1">
      <alignment horizontal="center"/>
    </xf>
    <xf numFmtId="0" fontId="20" fillId="4" borderId="0" xfId="7" applyFont="1" applyFill="1" applyAlignment="1">
      <alignment horizontal="center"/>
    </xf>
    <xf numFmtId="0" fontId="20" fillId="4" borderId="20" xfId="7" applyFont="1" applyFill="1" applyBorder="1" applyAlignment="1">
      <alignment horizontal="center"/>
    </xf>
    <xf numFmtId="0" fontId="20" fillId="4" borderId="21" xfId="7" applyFont="1" applyFill="1" applyBorder="1" applyAlignment="1">
      <alignment horizontal="center"/>
    </xf>
    <xf numFmtId="0" fontId="24" fillId="4" borderId="18" xfId="7" applyFont="1" applyFill="1" applyBorder="1" applyAlignment="1">
      <alignment horizontal="right" vertical="center"/>
    </xf>
    <xf numFmtId="0" fontId="24" fillId="4" borderId="0" xfId="7" applyFont="1" applyFill="1" applyAlignment="1">
      <alignment horizontal="right" vertical="center"/>
    </xf>
    <xf numFmtId="0" fontId="24" fillId="4" borderId="19" xfId="7" applyFont="1" applyFill="1" applyBorder="1" applyAlignment="1">
      <alignment horizontal="right" vertical="center"/>
    </xf>
    <xf numFmtId="17" fontId="24" fillId="4" borderId="20" xfId="7" applyNumberFormat="1" applyFont="1" applyFill="1" applyBorder="1" applyAlignment="1">
      <alignment horizontal="right" vertical="center"/>
    </xf>
    <xf numFmtId="0" fontId="24" fillId="4" borderId="21" xfId="7" applyFont="1" applyFill="1" applyBorder="1" applyAlignment="1">
      <alignment horizontal="right" vertical="center"/>
    </xf>
    <xf numFmtId="0" fontId="24" fillId="4" borderId="22" xfId="7" applyFont="1" applyFill="1" applyBorder="1" applyAlignment="1">
      <alignment horizontal="right" vertical="center"/>
    </xf>
    <xf numFmtId="0" fontId="21" fillId="4" borderId="18" xfId="7" applyFont="1" applyFill="1" applyBorder="1" applyAlignment="1">
      <alignment horizontal="center"/>
    </xf>
    <xf numFmtId="0" fontId="21" fillId="4" borderId="0" xfId="7" applyFont="1" applyFill="1" applyAlignment="1">
      <alignment horizontal="center"/>
    </xf>
    <xf numFmtId="0" fontId="21" fillId="4" borderId="19" xfId="7" applyFont="1" applyFill="1" applyBorder="1" applyAlignment="1">
      <alignment horizontal="center"/>
    </xf>
    <xf numFmtId="0" fontId="16" fillId="4" borderId="15" xfId="7" applyFont="1" applyFill="1" applyBorder="1" applyAlignment="1" applyProtection="1">
      <alignment horizontal="center" wrapText="1"/>
      <protection locked="0"/>
    </xf>
    <xf numFmtId="0" fontId="16" fillId="4" borderId="16" xfId="7" applyFont="1" applyFill="1" applyBorder="1" applyAlignment="1" applyProtection="1">
      <alignment horizontal="center" wrapText="1"/>
      <protection locked="0"/>
    </xf>
    <xf numFmtId="0" fontId="16" fillId="4" borderId="17" xfId="7" applyFont="1" applyFill="1" applyBorder="1" applyAlignment="1" applyProtection="1">
      <alignment horizontal="center" wrapText="1"/>
      <protection locked="0"/>
    </xf>
    <xf numFmtId="0" fontId="16" fillId="4" borderId="18" xfId="7" applyFont="1" applyFill="1" applyBorder="1" applyAlignment="1" applyProtection="1">
      <alignment horizontal="center" wrapText="1"/>
      <protection locked="0"/>
    </xf>
    <xf numFmtId="0" fontId="16" fillId="4" borderId="0" xfId="7" applyFont="1" applyFill="1" applyAlignment="1" applyProtection="1">
      <alignment horizontal="center" wrapText="1"/>
      <protection locked="0"/>
    </xf>
    <xf numFmtId="0" fontId="16" fillId="4" borderId="19" xfId="7" applyFont="1" applyFill="1" applyBorder="1" applyAlignment="1" applyProtection="1">
      <alignment horizontal="center" wrapText="1"/>
      <protection locked="0"/>
    </xf>
    <xf numFmtId="0" fontId="18" fillId="4" borderId="18" xfId="7" applyFont="1" applyFill="1" applyBorder="1" applyAlignment="1">
      <alignment horizontal="left"/>
    </xf>
    <xf numFmtId="0" fontId="18" fillId="4" borderId="0" xfId="7" applyFont="1" applyFill="1" applyAlignment="1">
      <alignment horizontal="left"/>
    </xf>
    <xf numFmtId="0" fontId="18" fillId="4" borderId="19" xfId="7" applyFont="1" applyFill="1" applyBorder="1" applyAlignment="1">
      <alignment horizontal="left"/>
    </xf>
    <xf numFmtId="0" fontId="21" fillId="4" borderId="18" xfId="7" applyFont="1" applyFill="1" applyBorder="1" applyAlignment="1">
      <alignment horizontal="center" vertical="center" wrapText="1"/>
    </xf>
    <xf numFmtId="0" fontId="21" fillId="4" borderId="0" xfId="7" applyFont="1" applyFill="1" applyAlignment="1">
      <alignment horizontal="center" vertical="center" wrapText="1"/>
    </xf>
    <xf numFmtId="0" fontId="21" fillId="4" borderId="19" xfId="7" applyFont="1" applyFill="1" applyBorder="1" applyAlignment="1">
      <alignment horizontal="center" vertical="center" wrapText="1"/>
    </xf>
    <xf numFmtId="0" fontId="8" fillId="0" borderId="9" xfId="8" applyFont="1" applyBorder="1"/>
    <xf numFmtId="0" fontId="7" fillId="0" borderId="0" xfId="8" applyFont="1" applyAlignment="1">
      <alignment horizontal="center"/>
    </xf>
    <xf numFmtId="0" fontId="8" fillId="0" borderId="0" xfId="8" applyFont="1"/>
    <xf numFmtId="0" fontId="9" fillId="0" borderId="8" xfId="8" applyFont="1" applyBorder="1" applyAlignment="1">
      <alignment horizontal="center"/>
    </xf>
    <xf numFmtId="0" fontId="9" fillId="0" borderId="23" xfId="8" applyFont="1" applyBorder="1" applyAlignment="1">
      <alignment horizontal="center"/>
    </xf>
    <xf numFmtId="0" fontId="9" fillId="0" borderId="24" xfId="8" applyFont="1" applyBorder="1" applyAlignment="1">
      <alignment horizontal="center"/>
    </xf>
    <xf numFmtId="43" fontId="11" fillId="0" borderId="4" xfId="1" applyFont="1" applyBorder="1" applyAlignment="1">
      <alignment horizontal="center"/>
    </xf>
    <xf numFmtId="0" fontId="28" fillId="0" borderId="40" xfId="0" applyFont="1" applyBorder="1" applyAlignment="1">
      <alignment horizontal="center" vertical="center"/>
    </xf>
    <xf numFmtId="0" fontId="34" fillId="0" borderId="41" xfId="0" applyFont="1" applyBorder="1"/>
    <xf numFmtId="0" fontId="28" fillId="0" borderId="40" xfId="0" applyFont="1" applyBorder="1" applyAlignment="1">
      <alignment horizontal="center"/>
    </xf>
    <xf numFmtId="0" fontId="34" fillId="0" borderId="40" xfId="0" applyFont="1" applyBorder="1"/>
  </cellXfs>
  <cellStyles count="63">
    <cellStyle name="Comma" xfId="1" builtinId="3"/>
    <cellStyle name="Comma 10" xfId="10"/>
    <cellStyle name="Comma 11 2" xfId="55"/>
    <cellStyle name="Comma 12" xfId="11"/>
    <cellStyle name="Comma 18" xfId="57"/>
    <cellStyle name="Comma 2" xfId="12"/>
    <cellStyle name="Comma 2 10" xfId="13"/>
    <cellStyle name="Comma 2 11" xfId="14"/>
    <cellStyle name="Comma 2 12" xfId="53"/>
    <cellStyle name="Comma 2 2" xfId="15"/>
    <cellStyle name="Comma 2 2 2" xfId="61"/>
    <cellStyle name="Comma 2 3" xfId="16"/>
    <cellStyle name="Comma 2 4" xfId="17"/>
    <cellStyle name="Comma 2 5" xfId="18"/>
    <cellStyle name="Comma 2 6" xfId="19"/>
    <cellStyle name="Comma 2 7" xfId="20"/>
    <cellStyle name="Comma 2 8" xfId="21"/>
    <cellStyle name="Comma 2 9" xfId="22"/>
    <cellStyle name="Comma 20" xfId="56"/>
    <cellStyle name="Comma 24" xfId="58"/>
    <cellStyle name="Comma 25" xfId="59"/>
    <cellStyle name="Comma 3" xfId="2"/>
    <cellStyle name="Comma 3 2" xfId="23"/>
    <cellStyle name="Comma 4" xfId="24"/>
    <cellStyle name="Comma 4 2" xfId="25"/>
    <cellStyle name="Comma 5" xfId="26"/>
    <cellStyle name="Comma 6" xfId="27"/>
    <cellStyle name="Normal" xfId="0" builtinId="0"/>
    <cellStyle name="Normal 10" xfId="8"/>
    <cellStyle name="Normal 11" xfId="28"/>
    <cellStyle name="Normal 12" xfId="29"/>
    <cellStyle name="Normal 13" xfId="54"/>
    <cellStyle name="Normal 2" xfId="3"/>
    <cellStyle name="Normal 2 10" xfId="30"/>
    <cellStyle name="Normal 2 10 2" xfId="31"/>
    <cellStyle name="Normal 2 11" xfId="32"/>
    <cellStyle name="Normal 2 12" xfId="51"/>
    <cellStyle name="Normal 2 13" xfId="60"/>
    <cellStyle name="Normal 2 14" xfId="62"/>
    <cellStyle name="Normal 2 2" xfId="33"/>
    <cellStyle name="Normal 2 2 2 2 2" xfId="4"/>
    <cellStyle name="Normal 2 2 2 3" xfId="34"/>
    <cellStyle name="Normal 2 2 3 2" xfId="50"/>
    <cellStyle name="Normal 2 3" xfId="35"/>
    <cellStyle name="Normal 2 3 2" xfId="36"/>
    <cellStyle name="Normal 2 4" xfId="37"/>
    <cellStyle name="Normal 2 4 2" xfId="6"/>
    <cellStyle name="Normal 2 5" xfId="38"/>
    <cellStyle name="Normal 2 6" xfId="39"/>
    <cellStyle name="Normal 2 7" xfId="40"/>
    <cellStyle name="Normal 2 8" xfId="41"/>
    <cellStyle name="Normal 2 9" xfId="42"/>
    <cellStyle name="Normal 3" xfId="7"/>
    <cellStyle name="Normal 3 2" xfId="43"/>
    <cellStyle name="Normal 4" xfId="44"/>
    <cellStyle name="Normal 4 2" xfId="9"/>
    <cellStyle name="Normal 5" xfId="45"/>
    <cellStyle name="Normal 6" xfId="46"/>
    <cellStyle name="Normal 6 2" xfId="52"/>
    <cellStyle name="Normal 7" xfId="47"/>
    <cellStyle name="Normal 8" xfId="48"/>
    <cellStyle name="Normal 9" xfId="49"/>
    <cellStyle name="Normal_SUMMARY FOR PART1-3" xfId="5"/>
  </cellStyles>
  <dxfs count="0"/>
  <tableStyles count="0" defaultTableStyle="TableStyleMedium9"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externalLink" Target="externalLinks/externalLink20.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5.xml"/><Relationship Id="rId34" Type="http://schemas.openxmlformats.org/officeDocument/2006/relationships/externalLink" Target="externalLinks/externalLink28.xml"/><Relationship Id="rId42" Type="http://schemas.openxmlformats.org/officeDocument/2006/relationships/calcChain" Target="calcChain.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33" Type="http://schemas.openxmlformats.org/officeDocument/2006/relationships/externalLink" Target="externalLinks/externalLink27.xml"/><Relationship Id="rId38" Type="http://schemas.openxmlformats.org/officeDocument/2006/relationships/externalLink" Target="externalLinks/externalLink32.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29" Type="http://schemas.openxmlformats.org/officeDocument/2006/relationships/externalLink" Target="externalLinks/externalLink23.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externalLink" Target="externalLinks/externalLink26.xml"/><Relationship Id="rId37" Type="http://schemas.openxmlformats.org/officeDocument/2006/relationships/externalLink" Target="externalLinks/externalLink31.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36" Type="http://schemas.openxmlformats.org/officeDocument/2006/relationships/externalLink" Target="externalLinks/externalLink30.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31" Type="http://schemas.openxmlformats.org/officeDocument/2006/relationships/externalLink" Target="externalLinks/externalLink25.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externalLink" Target="externalLinks/externalLink24.xml"/><Relationship Id="rId35" Type="http://schemas.openxmlformats.org/officeDocument/2006/relationships/externalLink" Target="externalLinks/externalLink2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18</xdr:row>
      <xdr:rowOff>-1</xdr:rowOff>
    </xdr:from>
    <xdr:to>
      <xdr:col>9</xdr:col>
      <xdr:colOff>521196</xdr:colOff>
      <xdr:row>32</xdr:row>
      <xdr:rowOff>148167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148666"/>
          <a:ext cx="6543113" cy="363008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MANUEL-PC/Users/Users/user/Desktop/FINISHING/Getent%20Ayehu%20B.C%20Final%20payment%2008/A-2%20Blk%2082%20300kpa-payment-08%20Getent%20Ayehu%20B.C%20re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files%20from%20mulat/Eyassu%202nd%20payment/E-1%20%20Blk%20132%20Res.%20payment%2006%20&amp;%201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TOLLEN-SERVER/Users/Documents%20and%20Settings/User/Desktop/mekele%20lot%2021%20HOSPITALxls%20200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Excavation%20data-re-yigletu/Excavation%20Data%20for%20stone%20masonry-RE-Yigletu,%20Jemmo%20II,%20%20(Autosaved).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TOLLEN-SERVER/Users/Users/Tsegay/Documents/Documents/TOLLEN/Mezabir%20Real%20Estate/Books%20construction/File%20for%20Teshe/SC-may2014/Users/Melu/Desktop/Users/Preferred%20Customer/Desktop/to%20payment/pay%20according%20b.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G:\BOQ%20&amp;%20CBD\Gulele%20Subcity%20-CBD.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Jemmo%20II%20%20Qty/Payment%20%20certificate%20%20to%20be%20approved/ALL%20PAYMENTS%20FINAL%20SEND/Dawit%202ND%20PAYMENT/E-2%20payment%2005%20alemnew%20new%20-%20Checked.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192.168.1.10/Users/Preferred%20Customer/AppData/Roaming/Microsoft/Excel/ALL/Amanuel%20Work/JEMMO%202/Payment%20check/Main%20Contractors/Endalemaw%20Kebede/Pay%20-03/A-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TOLLEN-SERVER/Users/Users/Tsegay/Documents/Documents/TOLLEN/Mezabir%20Real%20Estate/Books%20construction/File%20for%20Teshe/SC-may2014/Users/Melu/Desktop/Users/Preferred%20Customer/Desktop/Payment%20Gulele-02%20original.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TOLLEN-SERVER/Users/Office%20projects/Hossaina%20University%20project/Hossaina%20Payment/Hossaina%203rd,6th%20pay't/payt%205%20hossaina/Communal%20facility%20contract%20document/PRICED%20BOQ%20-%20Type%20A2%2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D1B9DBD8/L-1%20Standar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92.168.1.10/Users/Preferred%20Customer/AppData/Roaming/Microsoft/Excel/Users/Wendimu/Desktop/L-1%20Qty%20Res%20200kpa/Takeoff/L-1%20200Kpa%20Resident%20Final%20from%20Yoseph.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TOLLEN-SERVER/Users/Office%20projects/Hossaina%20University%20project/Hossaina%20Payment/Hossaina%203rd,6th%20pay't/payt%205%20hossaina/Office%20projects/Jemmo%20Condominium%20project/Jemmo%20payment/Communal/CM%20FP%20Erimias%20Gezaheg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TOLLEN-SERVER/Users/BIRUK'S%20FILE/ADA%20BORDING%20SCHOOL/Admin%20Office/Documents%20and%20Settings/User/Desktop/mekele%20lot%2021%20HOSPITALxls%202003.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Documents%20and%20Settings/User.USER-97E8F5706C/Desktop/Top%20tie%20beam/E2%20200%20kpa%20Residence%20Kaleab%20Pay%2006.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PC2/Users/Public/print/&#160;/Payment/Interim%20payment/Pay%20No-1/Takeoff/BoQ%20A%20Addis%20Ketema.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192.168.1.10/Users/Preferred%20Customer/AppData/Roaming/Microsoft/Excel/ALL/Amanuel%20Work/JEMMO%202/Payment%20check/Main%20Contractors/Abiyot%20Solomon/Pay%20-%2001/A-2%20300Kpa%20Pay-05%20Abiyot.xlsm"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TOLLEN-SERVER/Users/Users/Micky%20A/Desktop/Users/Amanuel/Desktop/A-2%20Resi%20with%20diam%2016mm%20200KPA.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Amanuel%20Work/Yeka%20Ayat%20Condominum/Material%20required%20Feb%20,2011/Material%20Breakdown%20by%20Amanuel%20&amp;%20Hiwot%20Mar%2028-11/E-1%20Qty%20Res%20200kpa/Takeoff/L-1%20truss%20Qty%20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list%20of%20contractors%20and%20details/HELEN%20H.MARIAM/Helen%20H.mariam%20E1%20300%20kpa%20final%20shop.xlsm"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Excavation%20data-re-yigletu/Excavation%20Data%20From%20site%20ins+re-yigletu,%20Jemmo%20II,%20%20(Autosaved).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ALEX-PC/Users/hiwot%20doc/list%20of%20contractors%20and%20details/YOKA%20CONSTRUCTION/Yoka%20cosntruction%20payment%206%20to%208/A-2%20300kpa-payment-6%20TO%208%20%20yoka%20r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MANUEL-PC/Users/Users/user/Desktop/FINISHING/RHS%20for%20all%20blocks%20(original).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Aec-server/bceom/Harar%20Jijjiga/BCEOM%20Reports/EngEst/HJprelim%20Cost%20Est/BILLS~HJ(1).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TOLLEN-SERVER/Users/Documents%20and%20Settings/Administrator/My%20Documents/MASTER%20MODEL%20and%20trafo%20reports/Users/FITCHE/HALIMAKW.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TOLLEN-SERVER/Users/Users/Tsegay/Documents/Documents/TOLLEN/Mezabir%20Real%20Estate/Books%20construction/to%20payment/pay%20according%20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9429408/L-1%20200Kpa%20Residen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list%20of%20contractors%20and%20details/BEHAILU%20YESEGATE/Behailu%20Y.%20final%20%20%20payment%20No%201%20to%2010/E-1%20200Kpa%20Pay-08%20withoutshop%20for%20Behailu%20Y..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list%20of%20contractors%20and%20details/ESHETU%20YIRDAW/Eshetu%20Yirdaw%20payment%2008%20final/E-1%20200Kpa%20Pay-08%20withoutshop%20Eshetu%20Yirdaw.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mail.ethionet.et/~projects/ayat/inprocess/308m2/BLOCK30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list%20of%20contractors%20and%20details/TADESSE%20SHIKUR/Tadesse%20S.%20final%202%20Payment%2008/E-2%20payment%2008%20Tadesse%20S.fina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192.168.1.10/Users/Preferred%20Customer/AppData/Roaming/Microsoft/Excel/Documents%20and%20Settings/Administrator/Application%20Data/Microsoft/Excel/Daniel%20Tessera%20G.C%20E2%20500/2nd%20pay/500kp%20E-2%20Res%20BLK%202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Ar &amp; St"/>
      <sheetName val="A-2 blcok work Res."/>
      <sheetName val="05 Sub Structure BC = 300"/>
      <sheetName val="05 RB A-2 300kp Res. Sub St."/>
      <sheetName val="05 Summary"/>
      <sheetName val="05 A-2 300kp Sup S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Structure BC = 300"/>
      <sheetName val="Roofing"/>
      <sheetName val="E-1 300kp Res. Sup St."/>
      <sheetName val="Pay-Certeficate (2)"/>
      <sheetName val="Pay-Certeficate"/>
      <sheetName val="Total Block summary "/>
      <sheetName val="Block Summary"/>
      <sheetName val="Summary"/>
      <sheetName val="Ar &amp; St"/>
      <sheetName val="RB E-1 300kp Res. Super St."/>
      <sheetName val="E-1 Plate Qty"/>
      <sheetName val="Plastering for Res."/>
      <sheetName val="Truss"/>
      <sheetName val="Latice Purlin "/>
    </sheetNames>
    <sheetDataSet>
      <sheetData sheetId="0" refreshError="1">
        <row r="7">
          <cell r="H7" t="str">
            <v>Previous Qty</v>
          </cell>
          <cell r="I7" t="str">
            <v xml:space="preserve">Current Qty </v>
          </cell>
        </row>
        <row r="10">
          <cell r="H10">
            <v>440.45</v>
          </cell>
        </row>
        <row r="11">
          <cell r="H11">
            <v>176.18</v>
          </cell>
        </row>
        <row r="12">
          <cell r="H12">
            <v>39.78</v>
          </cell>
        </row>
        <row r="13">
          <cell r="H13">
            <v>227.28</v>
          </cell>
        </row>
        <row r="14">
          <cell r="H14">
            <v>136.67999999999998</v>
          </cell>
        </row>
        <row r="15">
          <cell r="H15">
            <v>289.39999999999992</v>
          </cell>
        </row>
        <row r="16">
          <cell r="H16">
            <v>30.839999999999996</v>
          </cell>
        </row>
        <row r="17">
          <cell r="H17">
            <v>196.02</v>
          </cell>
        </row>
        <row r="18">
          <cell r="H18">
            <v>0</v>
          </cell>
        </row>
        <row r="19">
          <cell r="H19">
            <v>668.00999999999988</v>
          </cell>
        </row>
        <row r="20">
          <cell r="H20">
            <v>280.75</v>
          </cell>
        </row>
        <row r="21">
          <cell r="H21">
            <v>2485.3899999999994</v>
          </cell>
        </row>
        <row r="31">
          <cell r="H31">
            <v>94.8</v>
          </cell>
        </row>
        <row r="32">
          <cell r="H32">
            <v>41.78</v>
          </cell>
        </row>
        <row r="33">
          <cell r="H33">
            <v>19.799999999999997</v>
          </cell>
        </row>
        <row r="34">
          <cell r="H34">
            <v>280.75</v>
          </cell>
        </row>
        <row r="36">
          <cell r="H36">
            <v>61.279999999999994</v>
          </cell>
        </row>
        <row r="37">
          <cell r="H37">
            <v>6.16</v>
          </cell>
        </row>
        <row r="38">
          <cell r="H38">
            <v>15.699999999999998</v>
          </cell>
        </row>
        <row r="39">
          <cell r="H39">
            <v>280.75</v>
          </cell>
        </row>
        <row r="40">
          <cell r="H40">
            <v>292.64</v>
          </cell>
        </row>
        <row r="42">
          <cell r="H42">
            <v>119.36</v>
          </cell>
        </row>
        <row r="43">
          <cell r="H43">
            <v>77.449999999999989</v>
          </cell>
        </row>
        <row r="44">
          <cell r="H44">
            <v>152.73999999999998</v>
          </cell>
        </row>
        <row r="46">
          <cell r="H46">
            <v>639.67999999999995</v>
          </cell>
        </row>
        <row r="47">
          <cell r="H47">
            <v>735.97</v>
          </cell>
        </row>
        <row r="48">
          <cell r="H48">
            <v>0</v>
          </cell>
        </row>
        <row r="49">
          <cell r="H49">
            <v>1058.6300000000001</v>
          </cell>
        </row>
        <row r="50">
          <cell r="H50">
            <v>2131.21</v>
          </cell>
        </row>
        <row r="51">
          <cell r="H51">
            <v>546.13</v>
          </cell>
        </row>
        <row r="52">
          <cell r="H52">
            <v>1502.65</v>
          </cell>
        </row>
        <row r="53">
          <cell r="H53">
            <v>8057.48</v>
          </cell>
        </row>
        <row r="55">
          <cell r="H55">
            <v>39.879999999999995</v>
          </cell>
        </row>
        <row r="56">
          <cell r="H56">
            <v>7.21</v>
          </cell>
        </row>
        <row r="57">
          <cell r="H57">
            <v>47.089999999999996</v>
          </cell>
        </row>
      </sheetData>
      <sheetData sheetId="1" refreshError="1">
        <row r="1">
          <cell r="B1" t="str">
            <v>Project: Low Cost Housing Development Project</v>
          </cell>
        </row>
        <row r="2">
          <cell r="B2" t="str">
            <v>Location: Jemmo II</v>
          </cell>
        </row>
        <row r="3">
          <cell r="B3" t="str">
            <v>Client: Nifasilk Lafto Sub-City</v>
          </cell>
        </row>
        <row r="4">
          <cell r="B4" t="str">
            <v>Contractor: Eyassu Belete B.C.</v>
          </cell>
        </row>
        <row r="5">
          <cell r="B5" t="str">
            <v>Consultant: MGM Consult PLC</v>
          </cell>
        </row>
        <row r="6">
          <cell r="A6" t="str">
            <v>Code</v>
          </cell>
          <cell r="B6" t="str">
            <v>Timizing</v>
          </cell>
          <cell r="E6" t="str">
            <v>Dimension</v>
          </cell>
          <cell r="F6" t="str">
            <v>Qty</v>
          </cell>
        </row>
        <row r="9">
          <cell r="B9">
            <v>1</v>
          </cell>
          <cell r="C9">
            <v>1</v>
          </cell>
          <cell r="D9">
            <v>1</v>
          </cell>
          <cell r="E9">
            <v>33.72</v>
          </cell>
        </row>
        <row r="10">
          <cell r="E10">
            <v>10.6</v>
          </cell>
        </row>
        <row r="11">
          <cell r="F11">
            <v>357.43</v>
          </cell>
        </row>
        <row r="12">
          <cell r="B12">
            <v>1</v>
          </cell>
          <cell r="C12">
            <v>1</v>
          </cell>
          <cell r="D12">
            <v>2</v>
          </cell>
          <cell r="E12">
            <v>6.45</v>
          </cell>
        </row>
        <row r="13">
          <cell r="E13">
            <v>1.33</v>
          </cell>
        </row>
        <row r="14">
          <cell r="F14">
            <v>17.16</v>
          </cell>
        </row>
        <row r="15">
          <cell r="A15" t="str">
            <v>C3.1</v>
          </cell>
          <cell r="F15">
            <v>374.59000000000003</v>
          </cell>
        </row>
        <row r="18">
          <cell r="B18">
            <v>1</v>
          </cell>
          <cell r="C18">
            <v>1</v>
          </cell>
          <cell r="D18">
            <v>2</v>
          </cell>
          <cell r="E18">
            <v>33.72</v>
          </cell>
        </row>
        <row r="19">
          <cell r="F19">
            <v>67.44</v>
          </cell>
        </row>
        <row r="20">
          <cell r="B20">
            <v>1</v>
          </cell>
          <cell r="C20">
            <v>1</v>
          </cell>
          <cell r="D20">
            <v>2</v>
          </cell>
          <cell r="E20">
            <v>10.61</v>
          </cell>
        </row>
        <row r="21">
          <cell r="F21">
            <v>21.22</v>
          </cell>
        </row>
        <row r="22">
          <cell r="B22">
            <v>1</v>
          </cell>
          <cell r="C22">
            <v>1</v>
          </cell>
          <cell r="D22">
            <v>4</v>
          </cell>
          <cell r="E22">
            <v>1.33</v>
          </cell>
        </row>
        <row r="23">
          <cell r="F23">
            <v>5.32</v>
          </cell>
        </row>
        <row r="24">
          <cell r="A24" t="str">
            <v>C3.2</v>
          </cell>
          <cell r="F24">
            <v>93.97999999999999</v>
          </cell>
        </row>
        <row r="31">
          <cell r="A31" t="str">
            <v>C3.3</v>
          </cell>
        </row>
        <row r="34">
          <cell r="B34">
            <v>1</v>
          </cell>
          <cell r="C34">
            <v>1</v>
          </cell>
          <cell r="D34">
            <v>1</v>
          </cell>
          <cell r="E34">
            <v>22.22</v>
          </cell>
        </row>
        <row r="35">
          <cell r="F35">
            <v>22.22</v>
          </cell>
        </row>
        <row r="36">
          <cell r="B36">
            <v>1</v>
          </cell>
          <cell r="C36">
            <v>1</v>
          </cell>
          <cell r="D36">
            <v>2</v>
          </cell>
          <cell r="E36">
            <v>8.458503677008256</v>
          </cell>
        </row>
        <row r="37">
          <cell r="F37">
            <v>16.920000000000002</v>
          </cell>
        </row>
        <row r="38">
          <cell r="B38">
            <v>1</v>
          </cell>
          <cell r="C38">
            <v>1</v>
          </cell>
          <cell r="D38">
            <v>2</v>
          </cell>
          <cell r="E38">
            <v>7.5142033722579642</v>
          </cell>
        </row>
        <row r="39">
          <cell r="F39">
            <v>15.03</v>
          </cell>
        </row>
        <row r="40">
          <cell r="B40">
            <v>1</v>
          </cell>
          <cell r="C40">
            <v>1</v>
          </cell>
          <cell r="D40">
            <v>4</v>
          </cell>
          <cell r="E40">
            <v>5.7871938484923637</v>
          </cell>
        </row>
        <row r="41">
          <cell r="F41">
            <v>23.15</v>
          </cell>
        </row>
        <row r="42">
          <cell r="B42">
            <v>1</v>
          </cell>
          <cell r="C42">
            <v>1</v>
          </cell>
          <cell r="D42">
            <v>4</v>
          </cell>
          <cell r="E42">
            <v>4.6852596176569508</v>
          </cell>
        </row>
        <row r="43">
          <cell r="F43">
            <v>18.739999999999998</v>
          </cell>
        </row>
        <row r="44">
          <cell r="A44" t="str">
            <v>C3.4</v>
          </cell>
          <cell r="F44">
            <v>96.059999999999988</v>
          </cell>
        </row>
      </sheetData>
      <sheetData sheetId="2" refreshError="1">
        <row r="1">
          <cell r="B1" t="str">
            <v>Project: Low Cost Housing Development Project</v>
          </cell>
        </row>
        <row r="2">
          <cell r="B2" t="str">
            <v>Location: Jemmo II</v>
          </cell>
        </row>
        <row r="3">
          <cell r="B3" t="str">
            <v>Client: Nifasilk Lafto Sub-City</v>
          </cell>
        </row>
        <row r="4">
          <cell r="B4" t="str">
            <v>Contractor: Eyassu Belete B.C.</v>
          </cell>
        </row>
        <row r="5">
          <cell r="B5" t="str">
            <v>Consultant: MGM Consult PLC</v>
          </cell>
        </row>
        <row r="6">
          <cell r="A6" t="str">
            <v>Code</v>
          </cell>
          <cell r="B6" t="str">
            <v>Timizing</v>
          </cell>
          <cell r="E6" t="str">
            <v>Dimension</v>
          </cell>
          <cell r="F6" t="str">
            <v>Qty</v>
          </cell>
        </row>
        <row r="12">
          <cell r="B12">
            <v>1</v>
          </cell>
          <cell r="C12">
            <v>1</v>
          </cell>
          <cell r="D12">
            <v>24</v>
          </cell>
          <cell r="E12">
            <v>0.25</v>
          </cell>
        </row>
        <row r="13">
          <cell r="E13">
            <v>0.4</v>
          </cell>
        </row>
        <row r="14">
          <cell r="E14">
            <v>2.58</v>
          </cell>
        </row>
        <row r="15">
          <cell r="F15">
            <v>6.19</v>
          </cell>
        </row>
        <row r="16">
          <cell r="A16" t="str">
            <v>C1.1a</v>
          </cell>
          <cell r="F16">
            <v>6.19</v>
          </cell>
        </row>
        <row r="19">
          <cell r="B19">
            <v>1</v>
          </cell>
          <cell r="C19">
            <v>1</v>
          </cell>
          <cell r="D19">
            <v>4</v>
          </cell>
          <cell r="E19">
            <v>8.1999999999999993</v>
          </cell>
        </row>
        <row r="20">
          <cell r="E20">
            <v>0.2</v>
          </cell>
        </row>
        <row r="21">
          <cell r="E21">
            <v>0.3</v>
          </cell>
        </row>
        <row r="22">
          <cell r="F22">
            <v>1.97</v>
          </cell>
        </row>
        <row r="23">
          <cell r="B23">
            <v>1</v>
          </cell>
          <cell r="C23">
            <v>1</v>
          </cell>
          <cell r="D23">
            <v>4</v>
          </cell>
          <cell r="E23">
            <v>9.5300000000000011</v>
          </cell>
        </row>
        <row r="24">
          <cell r="E24">
            <v>0.2</v>
          </cell>
        </row>
        <row r="25">
          <cell r="E25">
            <v>0.3</v>
          </cell>
        </row>
        <row r="26">
          <cell r="F26">
            <v>2.29</v>
          </cell>
        </row>
        <row r="27">
          <cell r="B27">
            <v>1</v>
          </cell>
          <cell r="C27">
            <v>1</v>
          </cell>
          <cell r="D27">
            <v>1</v>
          </cell>
          <cell r="E27">
            <v>30.520000000000003</v>
          </cell>
        </row>
        <row r="28">
          <cell r="E28">
            <v>0.2</v>
          </cell>
        </row>
        <row r="29">
          <cell r="E29">
            <v>0.3</v>
          </cell>
        </row>
        <row r="30">
          <cell r="F30">
            <v>1.83</v>
          </cell>
        </row>
        <row r="31">
          <cell r="B31">
            <v>1</v>
          </cell>
          <cell r="C31">
            <v>1</v>
          </cell>
          <cell r="D31">
            <v>2</v>
          </cell>
          <cell r="E31">
            <v>4.8</v>
          </cell>
        </row>
        <row r="32">
          <cell r="E32">
            <v>0.2</v>
          </cell>
        </row>
        <row r="33">
          <cell r="E33">
            <v>0.3</v>
          </cell>
        </row>
        <row r="34">
          <cell r="F34">
            <v>0.57999999999999996</v>
          </cell>
        </row>
        <row r="35">
          <cell r="B35">
            <v>1</v>
          </cell>
          <cell r="C35">
            <v>1</v>
          </cell>
          <cell r="D35">
            <v>2</v>
          </cell>
          <cell r="E35">
            <v>8.6900000000000013</v>
          </cell>
        </row>
        <row r="36">
          <cell r="E36">
            <v>0.2</v>
          </cell>
        </row>
        <row r="37">
          <cell r="E37">
            <v>0.3</v>
          </cell>
        </row>
        <row r="38">
          <cell r="F38">
            <v>1.04</v>
          </cell>
        </row>
        <row r="39">
          <cell r="B39">
            <v>1</v>
          </cell>
          <cell r="C39">
            <v>1</v>
          </cell>
          <cell r="D39">
            <v>1</v>
          </cell>
          <cell r="E39">
            <v>20.93</v>
          </cell>
        </row>
        <row r="40">
          <cell r="E40">
            <v>0.2</v>
          </cell>
        </row>
        <row r="41">
          <cell r="E41">
            <v>0.3</v>
          </cell>
        </row>
        <row r="42">
          <cell r="F42">
            <v>1.26</v>
          </cell>
        </row>
        <row r="43">
          <cell r="B43">
            <v>1</v>
          </cell>
          <cell r="C43">
            <v>1</v>
          </cell>
          <cell r="D43">
            <v>2</v>
          </cell>
          <cell r="E43">
            <v>5</v>
          </cell>
        </row>
        <row r="44">
          <cell r="E44">
            <v>0.2</v>
          </cell>
        </row>
        <row r="45">
          <cell r="E45">
            <v>0.3</v>
          </cell>
        </row>
        <row r="46">
          <cell r="F46">
            <v>0.6</v>
          </cell>
        </row>
        <row r="47">
          <cell r="B47">
            <v>1</v>
          </cell>
          <cell r="C47">
            <v>1</v>
          </cell>
          <cell r="D47">
            <v>2</v>
          </cell>
          <cell r="E47">
            <v>4.8499999999999996</v>
          </cell>
        </row>
        <row r="48">
          <cell r="E48">
            <v>0.2</v>
          </cell>
        </row>
        <row r="49">
          <cell r="E49">
            <v>0.3</v>
          </cell>
        </row>
        <row r="50">
          <cell r="F50">
            <v>0.57999999999999996</v>
          </cell>
        </row>
        <row r="52">
          <cell r="B52">
            <v>1</v>
          </cell>
          <cell r="C52">
            <v>1</v>
          </cell>
          <cell r="D52">
            <v>24</v>
          </cell>
          <cell r="E52">
            <v>0.25</v>
          </cell>
        </row>
        <row r="53">
          <cell r="E53">
            <v>0.4</v>
          </cell>
        </row>
        <row r="54">
          <cell r="E54">
            <v>0.3</v>
          </cell>
        </row>
        <row r="55">
          <cell r="F55">
            <v>0.72</v>
          </cell>
        </row>
        <row r="56">
          <cell r="A56" t="str">
            <v>C1.1b</v>
          </cell>
          <cell r="F56">
            <v>10.870000000000001</v>
          </cell>
        </row>
        <row r="60">
          <cell r="B60">
            <v>1</v>
          </cell>
          <cell r="C60">
            <v>1</v>
          </cell>
          <cell r="D60">
            <v>24</v>
          </cell>
          <cell r="E60">
            <v>1.3</v>
          </cell>
        </row>
        <row r="61">
          <cell r="E61">
            <v>2.58</v>
          </cell>
        </row>
        <row r="62">
          <cell r="F62">
            <v>80.5</v>
          </cell>
        </row>
        <row r="63">
          <cell r="A63" t="str">
            <v>C1.3a</v>
          </cell>
          <cell r="F63">
            <v>80.5</v>
          </cell>
        </row>
        <row r="67">
          <cell r="B67">
            <v>1</v>
          </cell>
          <cell r="C67">
            <v>1</v>
          </cell>
          <cell r="D67">
            <v>1</v>
          </cell>
          <cell r="E67">
            <v>89.16</v>
          </cell>
        </row>
        <row r="68">
          <cell r="E68">
            <v>0.3</v>
          </cell>
        </row>
        <row r="69">
          <cell r="F69">
            <v>26.75</v>
          </cell>
        </row>
        <row r="71">
          <cell r="B71">
            <v>1</v>
          </cell>
          <cell r="C71">
            <v>1</v>
          </cell>
          <cell r="D71">
            <v>2</v>
          </cell>
          <cell r="E71">
            <v>27.3</v>
          </cell>
        </row>
        <row r="72">
          <cell r="E72">
            <v>0.3</v>
          </cell>
        </row>
        <row r="73">
          <cell r="F73">
            <v>16.38</v>
          </cell>
        </row>
        <row r="74">
          <cell r="B74">
            <v>1</v>
          </cell>
          <cell r="C74">
            <v>1</v>
          </cell>
          <cell r="D74">
            <v>2</v>
          </cell>
          <cell r="E74">
            <v>58.559999999999995</v>
          </cell>
        </row>
        <row r="75">
          <cell r="E75">
            <v>0.3</v>
          </cell>
        </row>
        <row r="76">
          <cell r="F76">
            <v>35.14</v>
          </cell>
        </row>
        <row r="77">
          <cell r="B77">
            <v>1</v>
          </cell>
          <cell r="C77">
            <v>1</v>
          </cell>
          <cell r="D77">
            <v>2</v>
          </cell>
          <cell r="E77">
            <v>32.96</v>
          </cell>
        </row>
        <row r="78">
          <cell r="E78">
            <v>0.3</v>
          </cell>
        </row>
        <row r="79">
          <cell r="F79">
            <v>19.78</v>
          </cell>
        </row>
        <row r="80">
          <cell r="B80">
            <v>1</v>
          </cell>
          <cell r="C80">
            <v>1</v>
          </cell>
          <cell r="D80">
            <v>1</v>
          </cell>
          <cell r="E80">
            <v>25.28</v>
          </cell>
        </row>
        <row r="81">
          <cell r="E81">
            <v>0.3</v>
          </cell>
        </row>
        <row r="82">
          <cell r="F82">
            <v>7.58</v>
          </cell>
        </row>
        <row r="84">
          <cell r="B84">
            <v>1</v>
          </cell>
          <cell r="C84">
            <v>1</v>
          </cell>
          <cell r="D84">
            <v>4</v>
          </cell>
          <cell r="E84">
            <v>8.1999999999999993</v>
          </cell>
        </row>
        <row r="85">
          <cell r="E85">
            <v>0.2</v>
          </cell>
        </row>
        <row r="86">
          <cell r="F86">
            <v>6.56</v>
          </cell>
        </row>
        <row r="87">
          <cell r="B87">
            <v>1</v>
          </cell>
          <cell r="C87">
            <v>1</v>
          </cell>
          <cell r="D87">
            <v>4</v>
          </cell>
          <cell r="E87">
            <v>9.5300000000000011</v>
          </cell>
        </row>
        <row r="88">
          <cell r="E88">
            <v>0.2</v>
          </cell>
        </row>
        <row r="89">
          <cell r="F89">
            <v>7.62</v>
          </cell>
        </row>
        <row r="90">
          <cell r="B90">
            <v>1</v>
          </cell>
          <cell r="C90">
            <v>1</v>
          </cell>
          <cell r="D90">
            <v>2</v>
          </cell>
          <cell r="E90">
            <v>5</v>
          </cell>
        </row>
        <row r="91">
          <cell r="E91">
            <v>0.2</v>
          </cell>
        </row>
        <row r="92">
          <cell r="F92">
            <v>2</v>
          </cell>
        </row>
        <row r="93">
          <cell r="B93">
            <v>1</v>
          </cell>
          <cell r="C93">
            <v>1</v>
          </cell>
          <cell r="D93">
            <v>1</v>
          </cell>
          <cell r="E93">
            <v>9.6999999999999993</v>
          </cell>
        </row>
        <row r="94">
          <cell r="E94">
            <v>0.2</v>
          </cell>
        </row>
        <row r="95">
          <cell r="F95">
            <v>1.94</v>
          </cell>
        </row>
        <row r="96">
          <cell r="B96">
            <v>1</v>
          </cell>
          <cell r="C96">
            <v>1</v>
          </cell>
          <cell r="D96">
            <v>1</v>
          </cell>
          <cell r="E96">
            <v>20.92</v>
          </cell>
        </row>
        <row r="97">
          <cell r="E97">
            <v>0.2</v>
          </cell>
        </row>
        <row r="98">
          <cell r="F98">
            <v>4.18</v>
          </cell>
        </row>
        <row r="99">
          <cell r="B99">
            <v>1</v>
          </cell>
          <cell r="C99">
            <v>1</v>
          </cell>
          <cell r="D99">
            <v>1</v>
          </cell>
          <cell r="E99">
            <v>9.6</v>
          </cell>
        </row>
        <row r="100">
          <cell r="E100">
            <v>0.2</v>
          </cell>
        </row>
        <row r="101">
          <cell r="F101">
            <v>1.92</v>
          </cell>
        </row>
        <row r="102">
          <cell r="B102">
            <v>1</v>
          </cell>
          <cell r="C102">
            <v>1</v>
          </cell>
          <cell r="D102">
            <v>1</v>
          </cell>
          <cell r="E102">
            <v>17.38</v>
          </cell>
        </row>
        <row r="103">
          <cell r="E103">
            <v>0.2</v>
          </cell>
        </row>
        <row r="104">
          <cell r="F104">
            <v>3.48</v>
          </cell>
        </row>
        <row r="105">
          <cell r="B105">
            <v>1</v>
          </cell>
          <cell r="C105">
            <v>1</v>
          </cell>
          <cell r="D105">
            <v>1</v>
          </cell>
          <cell r="E105">
            <v>30.520000000000003</v>
          </cell>
        </row>
        <row r="106">
          <cell r="E106">
            <v>0.2</v>
          </cell>
        </row>
        <row r="107">
          <cell r="F107">
            <v>0</v>
          </cell>
        </row>
        <row r="108">
          <cell r="A108" t="str">
            <v>C1.3b</v>
          </cell>
          <cell r="F108">
            <v>133.32999999999998</v>
          </cell>
        </row>
        <row r="111">
          <cell r="A111" t="str">
            <v>C1.4a</v>
          </cell>
          <cell r="F111">
            <v>0</v>
          </cell>
        </row>
        <row r="113">
          <cell r="A113" t="str">
            <v>C1.4b</v>
          </cell>
          <cell r="F113">
            <v>557.34</v>
          </cell>
        </row>
        <row r="115">
          <cell r="A115" t="str">
            <v>C1.4c</v>
          </cell>
          <cell r="F115">
            <v>0</v>
          </cell>
        </row>
        <row r="117">
          <cell r="A117" t="str">
            <v>C1.4d</v>
          </cell>
          <cell r="F117">
            <v>323.68</v>
          </cell>
        </row>
        <row r="119">
          <cell r="A119" t="str">
            <v>C1.4e</v>
          </cell>
          <cell r="F119">
            <v>958.39</v>
          </cell>
        </row>
        <row r="121">
          <cell r="A121" t="str">
            <v>C1.4f</v>
          </cell>
          <cell r="F121">
            <v>453.24</v>
          </cell>
        </row>
        <row r="123">
          <cell r="A123" t="str">
            <v>C1.4g</v>
          </cell>
          <cell r="F123">
            <v>0</v>
          </cell>
        </row>
      </sheetData>
      <sheetData sheetId="3" refreshError="1"/>
      <sheetData sheetId="4" refreshError="1"/>
      <sheetData sheetId="5" refreshError="1"/>
      <sheetData sheetId="6" refreshError="1"/>
      <sheetData sheetId="7" refreshError="1"/>
      <sheetData sheetId="8" refreshError="1"/>
      <sheetData sheetId="9" refreshError="1"/>
      <sheetData sheetId="10"/>
      <sheetData sheetId="11">
        <row r="1">
          <cell r="B1" t="str">
            <v>Project: Low Cost Housing Development Project</v>
          </cell>
        </row>
      </sheetData>
      <sheetData sheetId="12"/>
      <sheetData sheetId="1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nalysi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omon Weldu A2,E1-FevV"/>
      <sheetName val="BEREKET YEMANE-A2,E1-HENOKX"/>
      <sheetName val="SISAY GMARIAM,A2,A2-HENOKX"/>
      <sheetName val="Tesfu Beyen- A2,E1-hENOKX"/>
      <sheetName val="Wendwessen- A2,A1-fevenV "/>
      <sheetName val="Sisay Tedla b.c.- A2,E1-FevX "/>
      <sheetName val="YOKA CONS. A2,E1-YESHITILAX"/>
      <sheetName val="Teshale Asrat- E2,E1-Yesh"/>
      <sheetName val="Adot con.- A2,E1-Yeshitila"/>
      <sheetName val="Eshetu Yirdaw bc.-A2,E1-TsedeyV"/>
      <sheetName val="Sara B.c.- A2,E1-TsedeyV"/>
      <sheetName val="Seid Abdela-A2,E1-TsedeyV"/>
      <sheetName val="kinfe hailu,e1,a2(dagne)X"/>
      <sheetName val="mathios teshome E1,A2 (dagne)X"/>
      <sheetName val="Amha Wegayehu- E2,E1-Tsedey"/>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indows and Doors"/>
      <sheetName val="BOQ Ar &amp; St"/>
      <sheetName val="Sub-Structure Rein"/>
      <sheetName val="Super-Structure Rein"/>
      <sheetName val="T-OFF"/>
    </sheetNames>
    <sheetDataSet>
      <sheetData sheetId="0" refreshError="1"/>
      <sheetData sheetId="1" refreshError="1"/>
      <sheetData sheetId="2" refreshError="1"/>
      <sheetData sheetId="3" refreshError="1"/>
      <sheetData sheetId="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Labor data"/>
      <sheetName val="Equipment data"/>
      <sheetName val="Material data"/>
      <sheetName val="cost breakdown"/>
      <sheetName val="Summary"/>
      <sheetName val="Assumptions"/>
      <sheetName val="indirect cost"/>
      <sheetName val="A.Inform"/>
      <sheetName val="Proforma"/>
      <sheetName val="EST PAYM"/>
      <sheetName val="ADVANCE DISB"/>
      <sheetName val="major equipment schedule"/>
      <sheetName val="MATERIAL"/>
      <sheetName val="LABOR"/>
    </sheetNames>
    <sheetDataSet>
      <sheetData sheetId="0" refreshError="1"/>
      <sheetData sheetId="1" refreshError="1"/>
      <sheetData sheetId="2" refreshError="1">
        <row r="1">
          <cell r="B1">
            <v>0</v>
          </cell>
        </row>
        <row r="9">
          <cell r="B9" t="str">
            <v>Asphalt heater</v>
          </cell>
        </row>
        <row r="10">
          <cell r="B10" t="str">
            <v>D. Truck (10m3)</v>
          </cell>
        </row>
        <row r="11">
          <cell r="B11" t="str">
            <v>Asphalt dstributer</v>
          </cell>
        </row>
        <row r="12">
          <cell r="B12" t="str">
            <v>Excavator</v>
          </cell>
        </row>
        <row r="13">
          <cell r="B13" t="str">
            <v>Grinding machine</v>
          </cell>
        </row>
        <row r="14">
          <cell r="B14" t="str">
            <v>Power broom</v>
          </cell>
        </row>
        <row r="15">
          <cell r="B15" t="str">
            <v>Roller</v>
          </cell>
        </row>
        <row r="16">
          <cell r="B16" t="str">
            <v>Welding machine</v>
          </cell>
        </row>
        <row r="17">
          <cell r="B17" t="str">
            <v>Wheel loader CAT 938</v>
          </cell>
        </row>
        <row r="18">
          <cell r="B18" t="str">
            <v>Bull dozer (D8R)</v>
          </cell>
        </row>
        <row r="19">
          <cell r="B19" t="str">
            <v>Motor grader</v>
          </cell>
        </row>
        <row r="20">
          <cell r="B20" t="str">
            <v>Water truck</v>
          </cell>
        </row>
        <row r="21">
          <cell r="B21" t="str">
            <v>Concrete Batching plant</v>
          </cell>
        </row>
        <row r="22">
          <cell r="B22" t="str">
            <v>Concrete truck mixer</v>
          </cell>
        </row>
        <row r="23">
          <cell r="B23" t="str">
            <v>Tower crane</v>
          </cell>
        </row>
        <row r="24">
          <cell r="B24" t="str">
            <v>Doze D6</v>
          </cell>
        </row>
        <row r="25">
          <cell r="B25" t="str">
            <v>Mobile crane</v>
          </cell>
        </row>
        <row r="26">
          <cell r="B26" t="str">
            <v>Crusher (120T)</v>
          </cell>
        </row>
        <row r="27">
          <cell r="B27" t="str">
            <v>Generator (320KW)</v>
          </cell>
        </row>
        <row r="28">
          <cell r="B28" t="str">
            <v>Mixer-350lit</v>
          </cell>
        </row>
        <row r="29">
          <cell r="B29" t="str">
            <v>Asphalt distributor</v>
          </cell>
        </row>
        <row r="30">
          <cell r="B30" t="str">
            <v>Crusher, 120TPH</v>
          </cell>
        </row>
        <row r="31">
          <cell r="B31" t="str">
            <v>Mixer-500lit</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E2 Res (EXC&amp;MAS200kp)"/>
      <sheetName val="Block Summary"/>
      <sheetName val="Summary"/>
      <sheetName val=" Sub Structure BC = 200"/>
      <sheetName val=" E2 Res TAKOFF(con sub200kp)"/>
      <sheetName val=" TAKE OFF(form sub 200kp)"/>
      <sheetName val="E2 Res TAKE OFF(ref sub 200 kp)"/>
      <sheetName val=" Ar &amp; St"/>
      <sheetName val=" TAKE OFF(con super 200kp)"/>
      <sheetName val="E2 ResTAKEOFF(refsup bar 200kp)"/>
      <sheetName val=" TAKE OFF(form super 200kp)"/>
      <sheetName val="Sheet1"/>
    </sheetNames>
    <sheetDataSet>
      <sheetData sheetId="0" refreshError="1">
        <row r="1">
          <cell r="B1" t="str">
            <v>Final Residence</v>
          </cell>
        </row>
        <row r="2">
          <cell r="B2" t="str">
            <v>TAKEOFF SHEET FOR</v>
          </cell>
        </row>
        <row r="3">
          <cell r="B3" t="str">
            <v xml:space="preserve"> CLIENT: AAHDPO</v>
          </cell>
        </row>
        <row r="4">
          <cell r="B4" t="str">
            <v>Type E-2 (G+4)</v>
          </cell>
        </row>
        <row r="5">
          <cell r="B5" t="str">
            <v>LOCATION :- ADDIS ABABA,BC=200</v>
          </cell>
        </row>
        <row r="6">
          <cell r="B6" t="str">
            <v>SUB STRUCTURE</v>
          </cell>
        </row>
        <row r="8">
          <cell r="B8" t="str">
            <v>1) EXCAVATION &amp; EARTH WORKS</v>
          </cell>
        </row>
        <row r="9">
          <cell r="B9" t="str">
            <v>1.1 Site clearing</v>
          </cell>
          <cell r="C9">
            <v>1</v>
          </cell>
          <cell r="D9">
            <v>25.42</v>
          </cell>
        </row>
        <row r="10">
          <cell r="D10">
            <v>11.153</v>
          </cell>
        </row>
        <row r="11">
          <cell r="A11" t="str">
            <v>B1.1</v>
          </cell>
          <cell r="E11">
            <v>283.51</v>
          </cell>
        </row>
        <row r="13">
          <cell r="B13" t="str">
            <v>1.2 Bulk Excavation</v>
          </cell>
          <cell r="C13">
            <v>1</v>
          </cell>
          <cell r="D13">
            <v>25.42</v>
          </cell>
        </row>
        <row r="14">
          <cell r="D14">
            <v>11.153</v>
          </cell>
        </row>
        <row r="15">
          <cell r="D15">
            <v>0.4</v>
          </cell>
        </row>
        <row r="16">
          <cell r="A16" t="str">
            <v>B1.2</v>
          </cell>
          <cell r="E16">
            <v>113.4</v>
          </cell>
        </row>
        <row r="18">
          <cell r="B18" t="str">
            <v>1.3 Trench Excavation</v>
          </cell>
          <cell r="C18">
            <v>2</v>
          </cell>
          <cell r="D18">
            <v>3.4060000000000001</v>
          </cell>
        </row>
        <row r="19">
          <cell r="D19">
            <v>1</v>
          </cell>
        </row>
        <row r="20">
          <cell r="D20">
            <v>0.9</v>
          </cell>
        </row>
        <row r="21">
          <cell r="E21">
            <v>6.13</v>
          </cell>
        </row>
        <row r="23">
          <cell r="C23">
            <v>2</v>
          </cell>
          <cell r="D23">
            <v>0.08</v>
          </cell>
        </row>
        <row r="24">
          <cell r="D24">
            <v>1</v>
          </cell>
        </row>
        <row r="25">
          <cell r="D25">
            <v>0.9</v>
          </cell>
        </row>
        <row r="26">
          <cell r="E26">
            <v>0.14000000000000001</v>
          </cell>
        </row>
        <row r="28">
          <cell r="C28">
            <v>1</v>
          </cell>
          <cell r="D28">
            <v>5.04</v>
          </cell>
        </row>
        <row r="29">
          <cell r="D29">
            <v>1</v>
          </cell>
        </row>
        <row r="30">
          <cell r="D30">
            <v>0.9</v>
          </cell>
        </row>
        <row r="31">
          <cell r="E31">
            <v>4.54</v>
          </cell>
        </row>
        <row r="33">
          <cell r="C33">
            <v>2</v>
          </cell>
          <cell r="D33">
            <v>1.05</v>
          </cell>
        </row>
        <row r="34">
          <cell r="D34">
            <v>0.33</v>
          </cell>
        </row>
        <row r="35">
          <cell r="D35">
            <v>0.9</v>
          </cell>
        </row>
        <row r="36">
          <cell r="E36">
            <v>0.62</v>
          </cell>
        </row>
        <row r="38">
          <cell r="C38">
            <v>2</v>
          </cell>
          <cell r="D38">
            <v>1.5149999999999999</v>
          </cell>
        </row>
        <row r="39">
          <cell r="D39">
            <v>1</v>
          </cell>
        </row>
        <row r="40">
          <cell r="D40">
            <v>0.9</v>
          </cell>
        </row>
        <row r="41">
          <cell r="E41">
            <v>2.73</v>
          </cell>
        </row>
        <row r="43">
          <cell r="C43">
            <v>1</v>
          </cell>
          <cell r="D43">
            <v>7.27</v>
          </cell>
        </row>
        <row r="44">
          <cell r="D44">
            <v>1</v>
          </cell>
        </row>
        <row r="45">
          <cell r="D45">
            <v>0.9</v>
          </cell>
        </row>
        <row r="46">
          <cell r="E46">
            <v>6.54</v>
          </cell>
        </row>
        <row r="48">
          <cell r="C48">
            <v>2</v>
          </cell>
          <cell r="D48">
            <v>0.625</v>
          </cell>
        </row>
        <row r="49">
          <cell r="D49">
            <v>0.70300000000000007</v>
          </cell>
        </row>
        <row r="50">
          <cell r="D50">
            <v>0.9</v>
          </cell>
        </row>
        <row r="51">
          <cell r="E51">
            <v>0.79</v>
          </cell>
        </row>
        <row r="53">
          <cell r="C53">
            <v>4</v>
          </cell>
          <cell r="D53">
            <v>3.1</v>
          </cell>
        </row>
        <row r="54">
          <cell r="D54">
            <v>0.40300000000000002</v>
          </cell>
        </row>
        <row r="55">
          <cell r="D55">
            <v>0.9</v>
          </cell>
        </row>
        <row r="56">
          <cell r="E56">
            <v>4.5</v>
          </cell>
        </row>
        <row r="57">
          <cell r="A57" t="str">
            <v>B1.3</v>
          </cell>
          <cell r="E57">
            <v>25.99</v>
          </cell>
        </row>
        <row r="58">
          <cell r="B58" t="str">
            <v>1.4 Excavate in ordinary soil for isolated footing to a depth not exceeding 1500mm from stripped level.</v>
          </cell>
        </row>
        <row r="59">
          <cell r="C59">
            <v>10</v>
          </cell>
          <cell r="D59">
            <v>3.1</v>
          </cell>
        </row>
        <row r="60">
          <cell r="D60">
            <v>3.1</v>
          </cell>
        </row>
        <row r="61">
          <cell r="D61">
            <v>1.5</v>
          </cell>
        </row>
        <row r="62">
          <cell r="E62">
            <v>144.15</v>
          </cell>
        </row>
        <row r="64">
          <cell r="C64">
            <v>2</v>
          </cell>
          <cell r="D64">
            <v>2.9</v>
          </cell>
        </row>
        <row r="65">
          <cell r="D65">
            <v>2.9</v>
          </cell>
        </row>
        <row r="66">
          <cell r="D66">
            <v>1.5</v>
          </cell>
        </row>
        <row r="67">
          <cell r="E67">
            <v>25.23</v>
          </cell>
        </row>
        <row r="69">
          <cell r="C69">
            <v>4</v>
          </cell>
          <cell r="D69">
            <v>2.5</v>
          </cell>
        </row>
        <row r="70">
          <cell r="D70">
            <v>2.5</v>
          </cell>
        </row>
        <row r="71">
          <cell r="D71">
            <v>1.5</v>
          </cell>
        </row>
        <row r="72">
          <cell r="E72">
            <v>37.5</v>
          </cell>
        </row>
        <row r="74">
          <cell r="C74">
            <v>2</v>
          </cell>
          <cell r="D74">
            <v>2.1</v>
          </cell>
        </row>
        <row r="75">
          <cell r="D75">
            <v>2.1</v>
          </cell>
        </row>
        <row r="76">
          <cell r="D76">
            <v>1.5</v>
          </cell>
        </row>
        <row r="77">
          <cell r="E77">
            <v>13.23</v>
          </cell>
        </row>
        <row r="79">
          <cell r="A79" t="str">
            <v>B1.4</v>
          </cell>
          <cell r="E79">
            <v>220.11</v>
          </cell>
        </row>
        <row r="80">
          <cell r="B80" t="str">
            <v>1.5 Excavate in ordinary soil for isolated footing to a depth exceeding 1500mm but not exceeding 300mm from stripped level.</v>
          </cell>
        </row>
        <row r="81">
          <cell r="E81" t="str">
            <v>This data is obtained from excavation data attached at the back</v>
          </cell>
        </row>
        <row r="82">
          <cell r="A82" t="str">
            <v>B1.5</v>
          </cell>
          <cell r="E82">
            <v>89.22</v>
          </cell>
        </row>
        <row r="84">
          <cell r="B84" t="str">
            <v>1.6 Fill around footing pad and foundation column</v>
          </cell>
          <cell r="E84">
            <v>220.11</v>
          </cell>
        </row>
        <row r="85">
          <cell r="E85">
            <v>89.22</v>
          </cell>
        </row>
        <row r="87">
          <cell r="E87">
            <v>-5.0119999999999996</v>
          </cell>
        </row>
        <row r="88">
          <cell r="E88">
            <v>-45.618242509277053</v>
          </cell>
        </row>
        <row r="89">
          <cell r="E89">
            <v>-3.3048000000000002</v>
          </cell>
        </row>
        <row r="90">
          <cell r="D90">
            <v>-20.55</v>
          </cell>
        </row>
        <row r="91">
          <cell r="D91">
            <v>0.5</v>
          </cell>
        </row>
        <row r="92">
          <cell r="D92">
            <v>0.4</v>
          </cell>
        </row>
        <row r="93">
          <cell r="E93">
            <v>-4.1100000000000003</v>
          </cell>
        </row>
        <row r="94">
          <cell r="A94" t="str">
            <v>B1.6</v>
          </cell>
          <cell r="E94">
            <v>251.28</v>
          </cell>
        </row>
        <row r="96">
          <cell r="B96" t="str">
            <v>1.7 Fill around stone masonry</v>
          </cell>
        </row>
        <row r="98">
          <cell r="C98">
            <v>2</v>
          </cell>
          <cell r="D98">
            <v>3.4060000000000001</v>
          </cell>
        </row>
        <row r="99">
          <cell r="D99">
            <v>1</v>
          </cell>
        </row>
        <row r="100">
          <cell r="D100">
            <v>0.5</v>
          </cell>
        </row>
        <row r="101">
          <cell r="E101">
            <v>3.41</v>
          </cell>
        </row>
        <row r="103">
          <cell r="C103">
            <v>2</v>
          </cell>
          <cell r="D103">
            <v>0.08</v>
          </cell>
        </row>
        <row r="104">
          <cell r="D104">
            <v>1</v>
          </cell>
        </row>
        <row r="105">
          <cell r="D105">
            <v>0.5</v>
          </cell>
        </row>
        <row r="106">
          <cell r="E106">
            <v>0.08</v>
          </cell>
        </row>
        <row r="108">
          <cell r="C108">
            <v>1</v>
          </cell>
          <cell r="D108">
            <v>5.04</v>
          </cell>
        </row>
        <row r="109">
          <cell r="D109">
            <v>1</v>
          </cell>
        </row>
        <row r="110">
          <cell r="D110">
            <v>0.5</v>
          </cell>
        </row>
        <row r="111">
          <cell r="E111">
            <v>2.52</v>
          </cell>
        </row>
        <row r="113">
          <cell r="C113">
            <v>2</v>
          </cell>
          <cell r="D113">
            <v>1.05</v>
          </cell>
        </row>
        <row r="114">
          <cell r="D114">
            <v>0.33</v>
          </cell>
        </row>
        <row r="115">
          <cell r="D115">
            <v>0.5</v>
          </cell>
        </row>
        <row r="116">
          <cell r="E116">
            <v>0.35</v>
          </cell>
        </row>
        <row r="118">
          <cell r="C118">
            <v>2</v>
          </cell>
          <cell r="D118">
            <v>1.5149999999999999</v>
          </cell>
        </row>
        <row r="119">
          <cell r="D119">
            <v>1</v>
          </cell>
        </row>
        <row r="120">
          <cell r="D120">
            <v>0.5</v>
          </cell>
        </row>
        <row r="121">
          <cell r="E121">
            <v>1.52</v>
          </cell>
        </row>
        <row r="123">
          <cell r="C123">
            <v>1</v>
          </cell>
          <cell r="D123">
            <v>7.27</v>
          </cell>
        </row>
        <row r="124">
          <cell r="D124">
            <v>1</v>
          </cell>
        </row>
        <row r="125">
          <cell r="D125">
            <v>0.5</v>
          </cell>
        </row>
        <row r="126">
          <cell r="E126">
            <v>3.64</v>
          </cell>
        </row>
        <row r="128">
          <cell r="C128">
            <v>2</v>
          </cell>
          <cell r="D128">
            <v>0.625</v>
          </cell>
        </row>
        <row r="129">
          <cell r="D129">
            <v>0.70300000000000007</v>
          </cell>
        </row>
        <row r="130">
          <cell r="D130">
            <v>0.5</v>
          </cell>
        </row>
        <row r="131">
          <cell r="E131">
            <v>0.44</v>
          </cell>
        </row>
        <row r="133">
          <cell r="C133">
            <v>4</v>
          </cell>
          <cell r="D133">
            <v>3.1</v>
          </cell>
        </row>
        <row r="134">
          <cell r="D134">
            <v>0.40300000000000002</v>
          </cell>
        </row>
        <row r="135">
          <cell r="D135">
            <v>0.5</v>
          </cell>
        </row>
        <row r="136">
          <cell r="E136">
            <v>2.5</v>
          </cell>
        </row>
        <row r="139">
          <cell r="C139">
            <v>2</v>
          </cell>
          <cell r="D139">
            <v>3.41</v>
          </cell>
        </row>
        <row r="140">
          <cell r="D140">
            <v>1</v>
          </cell>
        </row>
        <row r="141">
          <cell r="D141">
            <v>0.4</v>
          </cell>
        </row>
        <row r="142">
          <cell r="E142">
            <v>2.73</v>
          </cell>
        </row>
        <row r="144">
          <cell r="C144">
            <v>2</v>
          </cell>
          <cell r="D144">
            <v>0.08</v>
          </cell>
        </row>
        <row r="145">
          <cell r="D145">
            <v>1</v>
          </cell>
        </row>
        <row r="146">
          <cell r="D146">
            <v>0.4</v>
          </cell>
        </row>
        <row r="147">
          <cell r="E147">
            <v>0.06</v>
          </cell>
        </row>
        <row r="149">
          <cell r="C149">
            <v>1</v>
          </cell>
          <cell r="D149">
            <v>5.04</v>
          </cell>
        </row>
        <row r="150">
          <cell r="D150">
            <v>1</v>
          </cell>
        </row>
        <row r="151">
          <cell r="D151">
            <v>0.4</v>
          </cell>
        </row>
        <row r="152">
          <cell r="E152">
            <v>2.02</v>
          </cell>
        </row>
        <row r="154">
          <cell r="C154">
            <v>2</v>
          </cell>
          <cell r="D154">
            <v>1.05</v>
          </cell>
        </row>
        <row r="155">
          <cell r="D155">
            <v>0.33</v>
          </cell>
        </row>
        <row r="156">
          <cell r="D156">
            <v>0.4</v>
          </cell>
        </row>
        <row r="157">
          <cell r="E157">
            <v>0.28000000000000003</v>
          </cell>
        </row>
        <row r="159">
          <cell r="C159">
            <v>2</v>
          </cell>
          <cell r="D159">
            <v>1.5149999999999999</v>
          </cell>
        </row>
        <row r="160">
          <cell r="D160">
            <v>1</v>
          </cell>
        </row>
        <row r="161">
          <cell r="D161">
            <v>0.4</v>
          </cell>
        </row>
        <row r="162">
          <cell r="E162">
            <v>1.21</v>
          </cell>
        </row>
        <row r="164">
          <cell r="C164">
            <v>1</v>
          </cell>
          <cell r="D164">
            <v>7.27</v>
          </cell>
        </row>
        <row r="165">
          <cell r="D165">
            <v>1</v>
          </cell>
        </row>
        <row r="166">
          <cell r="D166">
            <v>0.4</v>
          </cell>
        </row>
        <row r="167">
          <cell r="E167">
            <v>2.91</v>
          </cell>
        </row>
        <row r="169">
          <cell r="C169">
            <v>2</v>
          </cell>
          <cell r="D169">
            <v>0.625</v>
          </cell>
        </row>
        <row r="170">
          <cell r="D170">
            <v>0.70300000000000007</v>
          </cell>
        </row>
        <row r="171">
          <cell r="D171">
            <v>0.4</v>
          </cell>
        </row>
        <row r="172">
          <cell r="E172">
            <v>0.35</v>
          </cell>
        </row>
        <row r="174">
          <cell r="C174">
            <v>4</v>
          </cell>
          <cell r="D174">
            <v>3.1</v>
          </cell>
        </row>
        <row r="175">
          <cell r="D175">
            <v>0.40300000000000002</v>
          </cell>
        </row>
        <row r="176">
          <cell r="D176">
            <v>0.4</v>
          </cell>
        </row>
        <row r="177">
          <cell r="E177">
            <v>2</v>
          </cell>
        </row>
        <row r="179">
          <cell r="A179" t="str">
            <v>B1.7</v>
          </cell>
          <cell r="E179">
            <v>26.02</v>
          </cell>
        </row>
        <row r="181">
          <cell r="B181" t="str">
            <v>1.8 Back Fill Under Hardcore From Quarry</v>
          </cell>
        </row>
        <row r="183">
          <cell r="C183">
            <v>1</v>
          </cell>
          <cell r="D183">
            <v>203.13</v>
          </cell>
        </row>
        <row r="184">
          <cell r="D184">
            <v>0.74</v>
          </cell>
        </row>
        <row r="185">
          <cell r="E185">
            <v>150.32</v>
          </cell>
        </row>
        <row r="186">
          <cell r="A186" t="str">
            <v>B1.8</v>
          </cell>
          <cell r="E186">
            <v>150.32</v>
          </cell>
        </row>
        <row r="187">
          <cell r="A187" t="str">
            <v>B1.9</v>
          </cell>
        </row>
        <row r="188">
          <cell r="B188" t="str">
            <v>1.10 Cart away</v>
          </cell>
          <cell r="E188">
            <v>56.701999999999998</v>
          </cell>
        </row>
        <row r="189">
          <cell r="E189">
            <v>113.4</v>
          </cell>
        </row>
        <row r="190">
          <cell r="E190">
            <v>25.99</v>
          </cell>
        </row>
        <row r="191">
          <cell r="E191">
            <v>220.11</v>
          </cell>
        </row>
        <row r="192">
          <cell r="E192">
            <v>89.22</v>
          </cell>
        </row>
        <row r="193">
          <cell r="A193" t="str">
            <v>B1.10</v>
          </cell>
          <cell r="E193">
            <v>505.42</v>
          </cell>
        </row>
        <row r="195">
          <cell r="B195" t="str">
            <v>1.11 Hard core under 100mm thick ground floor slab</v>
          </cell>
        </row>
        <row r="196">
          <cell r="C196">
            <v>1</v>
          </cell>
          <cell r="D196">
            <v>22.42</v>
          </cell>
        </row>
        <row r="197">
          <cell r="D197">
            <v>10.984999999999999</v>
          </cell>
        </row>
        <row r="198">
          <cell r="E198">
            <v>246.28</v>
          </cell>
        </row>
        <row r="200">
          <cell r="C200">
            <v>-2</v>
          </cell>
          <cell r="D200">
            <v>1.33</v>
          </cell>
        </row>
        <row r="201">
          <cell r="D201">
            <v>4.0399999999999991</v>
          </cell>
        </row>
        <row r="202">
          <cell r="E202">
            <v>-10.75</v>
          </cell>
        </row>
        <row r="204">
          <cell r="C204">
            <v>-2</v>
          </cell>
          <cell r="D204">
            <v>27.025000000000006</v>
          </cell>
        </row>
        <row r="205">
          <cell r="D205">
            <v>0.2</v>
          </cell>
        </row>
        <row r="206">
          <cell r="E206">
            <v>-10.81</v>
          </cell>
        </row>
        <row r="208">
          <cell r="C208">
            <v>-1</v>
          </cell>
          <cell r="D208">
            <v>101.32</v>
          </cell>
        </row>
        <row r="209">
          <cell r="D209">
            <v>0.2</v>
          </cell>
        </row>
        <row r="210">
          <cell r="E210">
            <v>-20.260000000000002</v>
          </cell>
        </row>
        <row r="212">
          <cell r="C212">
            <v>-6</v>
          </cell>
          <cell r="D212">
            <v>0.25</v>
          </cell>
        </row>
        <row r="213">
          <cell r="D213">
            <v>0.4</v>
          </cell>
        </row>
        <row r="214">
          <cell r="E214">
            <v>-0.6</v>
          </cell>
        </row>
        <row r="216">
          <cell r="C216">
            <v>-12</v>
          </cell>
          <cell r="D216">
            <v>0.3</v>
          </cell>
        </row>
        <row r="217">
          <cell r="D217">
            <v>0.4</v>
          </cell>
        </row>
        <row r="218">
          <cell r="E218">
            <v>-1.44</v>
          </cell>
        </row>
        <row r="220">
          <cell r="A220" t="str">
            <v>B1.11</v>
          </cell>
          <cell r="E220">
            <v>202.42</v>
          </cell>
        </row>
        <row r="222">
          <cell r="B222" t="str">
            <v>3. Masonry Work</v>
          </cell>
          <cell r="C222">
            <v>1</v>
          </cell>
          <cell r="D222">
            <v>8.65</v>
          </cell>
        </row>
        <row r="223">
          <cell r="B223" t="str">
            <v>3.1 Below GL</v>
          </cell>
          <cell r="D223">
            <v>0.5</v>
          </cell>
        </row>
        <row r="224">
          <cell r="D224">
            <v>0.98</v>
          </cell>
        </row>
        <row r="225">
          <cell r="E225">
            <v>4.24</v>
          </cell>
        </row>
        <row r="227">
          <cell r="C227">
            <v>1</v>
          </cell>
          <cell r="D227">
            <v>8.65</v>
          </cell>
        </row>
        <row r="228">
          <cell r="D228">
            <v>0.5</v>
          </cell>
        </row>
        <row r="229">
          <cell r="D229">
            <v>1.0900000000000001</v>
          </cell>
        </row>
        <row r="230">
          <cell r="E230">
            <v>4.71</v>
          </cell>
        </row>
        <row r="232">
          <cell r="C232">
            <v>-6</v>
          </cell>
          <cell r="D232">
            <v>0.25</v>
          </cell>
        </row>
        <row r="233">
          <cell r="D233">
            <v>0.4</v>
          </cell>
        </row>
        <row r="234">
          <cell r="D234">
            <v>1</v>
          </cell>
        </row>
        <row r="235">
          <cell r="E235">
            <v>-0.6</v>
          </cell>
        </row>
        <row r="237">
          <cell r="C237">
            <v>1</v>
          </cell>
          <cell r="D237">
            <v>0.83</v>
          </cell>
        </row>
        <row r="238">
          <cell r="D238">
            <v>0.5</v>
          </cell>
        </row>
        <row r="239">
          <cell r="D239">
            <v>0.95</v>
          </cell>
        </row>
        <row r="240">
          <cell r="E240">
            <v>0.39</v>
          </cell>
        </row>
        <row r="241">
          <cell r="C241">
            <v>1</v>
          </cell>
          <cell r="D241">
            <v>0.83</v>
          </cell>
        </row>
        <row r="242">
          <cell r="D242">
            <v>0.5</v>
          </cell>
        </row>
        <row r="243">
          <cell r="D243">
            <v>1</v>
          </cell>
        </row>
        <row r="244">
          <cell r="E244">
            <v>0.42</v>
          </cell>
        </row>
        <row r="246">
          <cell r="C246">
            <v>-2</v>
          </cell>
          <cell r="D246">
            <v>0.3</v>
          </cell>
        </row>
        <row r="247">
          <cell r="D247">
            <v>0.4</v>
          </cell>
        </row>
        <row r="248">
          <cell r="D248">
            <v>1</v>
          </cell>
        </row>
        <row r="249">
          <cell r="E249">
            <v>-0.24</v>
          </cell>
        </row>
        <row r="251">
          <cell r="C251">
            <v>2</v>
          </cell>
          <cell r="D251">
            <v>4.54</v>
          </cell>
        </row>
        <row r="252">
          <cell r="D252">
            <v>0.5</v>
          </cell>
        </row>
        <row r="253">
          <cell r="D253">
            <v>0.98</v>
          </cell>
        </row>
        <row r="254">
          <cell r="E254">
            <v>4.45</v>
          </cell>
        </row>
        <row r="256">
          <cell r="C256">
            <v>1</v>
          </cell>
          <cell r="D256">
            <v>14.34</v>
          </cell>
        </row>
        <row r="257">
          <cell r="D257">
            <v>0.5</v>
          </cell>
        </row>
        <row r="258">
          <cell r="D258">
            <v>1</v>
          </cell>
        </row>
        <row r="259">
          <cell r="E259">
            <v>7.17</v>
          </cell>
        </row>
        <row r="261">
          <cell r="C261">
            <v>1</v>
          </cell>
          <cell r="D261">
            <v>22.42</v>
          </cell>
        </row>
        <row r="262">
          <cell r="D262">
            <v>0.5</v>
          </cell>
        </row>
        <row r="263">
          <cell r="D263">
            <v>0.92</v>
          </cell>
        </row>
        <row r="264">
          <cell r="E264">
            <v>10.31</v>
          </cell>
        </row>
        <row r="265">
          <cell r="A265" t="str">
            <v>B3.1</v>
          </cell>
          <cell r="E265">
            <v>30.85</v>
          </cell>
        </row>
        <row r="267">
          <cell r="B267" t="str">
            <v>3.2 Above GL</v>
          </cell>
        </row>
        <row r="268">
          <cell r="C268">
            <v>1</v>
          </cell>
          <cell r="D268">
            <v>8.65</v>
          </cell>
        </row>
        <row r="269">
          <cell r="D269">
            <v>0.5</v>
          </cell>
        </row>
        <row r="270">
          <cell r="D270">
            <v>0.22</v>
          </cell>
        </row>
        <row r="271">
          <cell r="E271">
            <v>0.95</v>
          </cell>
        </row>
        <row r="272">
          <cell r="C272">
            <v>1</v>
          </cell>
          <cell r="D272">
            <v>8.65</v>
          </cell>
        </row>
        <row r="273">
          <cell r="D273">
            <v>0.5</v>
          </cell>
        </row>
        <row r="274">
          <cell r="D274">
            <v>0.11</v>
          </cell>
        </row>
        <row r="275">
          <cell r="E275">
            <v>0.48</v>
          </cell>
        </row>
        <row r="276">
          <cell r="C276">
            <v>-6</v>
          </cell>
          <cell r="D276">
            <v>0.25</v>
          </cell>
        </row>
        <row r="277">
          <cell r="D277">
            <v>0.4</v>
          </cell>
        </row>
        <row r="278">
          <cell r="D278">
            <v>0.16500000000000001</v>
          </cell>
        </row>
        <row r="279">
          <cell r="E279">
            <v>-0.1</v>
          </cell>
        </row>
        <row r="281">
          <cell r="C281">
            <v>1</v>
          </cell>
          <cell r="D281">
            <v>0.83</v>
          </cell>
        </row>
        <row r="282">
          <cell r="D282">
            <v>0.5</v>
          </cell>
        </row>
        <row r="283">
          <cell r="D283">
            <v>0.05</v>
          </cell>
        </row>
        <row r="284">
          <cell r="E284">
            <v>0.02</v>
          </cell>
        </row>
        <row r="287">
          <cell r="C287">
            <v>2</v>
          </cell>
          <cell r="D287">
            <v>4.54</v>
          </cell>
        </row>
        <row r="288">
          <cell r="D288">
            <v>0.5</v>
          </cell>
        </row>
        <row r="289">
          <cell r="D289">
            <v>0.02</v>
          </cell>
        </row>
        <row r="290">
          <cell r="E290">
            <v>0.09</v>
          </cell>
        </row>
        <row r="293">
          <cell r="C293">
            <v>1</v>
          </cell>
          <cell r="D293">
            <v>22.42</v>
          </cell>
        </row>
        <row r="294">
          <cell r="D294">
            <v>0.5</v>
          </cell>
        </row>
        <row r="295">
          <cell r="D295">
            <v>0.28000000000000003</v>
          </cell>
        </row>
        <row r="296">
          <cell r="E296">
            <v>3.14</v>
          </cell>
        </row>
        <row r="297">
          <cell r="A297" t="str">
            <v>B3.2</v>
          </cell>
          <cell r="E297">
            <v>4.58</v>
          </cell>
        </row>
        <row r="298">
          <cell r="E298" t="str">
            <v/>
          </cell>
        </row>
      </sheetData>
      <sheetData sheetId="1"/>
      <sheetData sheetId="2"/>
      <sheetData sheetId="3">
        <row r="1">
          <cell r="B1" t="str">
            <v>Final Residence</v>
          </cell>
        </row>
      </sheetData>
      <sheetData sheetId="4"/>
      <sheetData sheetId="5"/>
      <sheetData sheetId="6"/>
      <sheetData sheetId="7"/>
      <sheetData sheetId="8"/>
      <sheetData sheetId="9"/>
      <sheetData sheetId="10"/>
      <sheetData sheetId="1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A-2 300kp Res. Sup St."/>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Rebar. C "/>
      <sheetName val="Block A Rebar"/>
    </sheetNames>
    <sheetDataSet>
      <sheetData sheetId="0" refreshError="1"/>
      <sheetData sheetId="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2 for above 3rd floor"/>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Structure BC = 200"/>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L -1  sub R-bar for 200Kpa "/>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unal sub r-bar"/>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nalysis"/>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r &amp; St"/>
      <sheetName val="Block Summary"/>
      <sheetName val="Summary 05"/>
      <sheetName val="05 Sub Structure BC = 200"/>
      <sheetName val=" E2 Res (EXC&amp;MAS200kp) "/>
      <sheetName val=" E2 Res TAKOFF(con sub200kp)"/>
      <sheetName val=" TAKE OFF(form sub 200kp)"/>
      <sheetName val="E2 Res TAKE OFF(ref bar 200 kp)"/>
      <sheetName val=" TAKE OFF(con super 300kp)"/>
      <sheetName val=" TAKE OFF(form super 300kp)"/>
      <sheetName val="E2 Res TAKE OFF(ref sup 300 )"/>
      <sheetName val="E-2 Block work"/>
      <sheetName val="E-2 Plate Qty "/>
    </sheetNames>
    <sheetDataSet>
      <sheetData sheetId="0" refreshError="1">
        <row r="7">
          <cell r="H7" t="str">
            <v>Previous Qty</v>
          </cell>
        </row>
        <row r="39">
          <cell r="H39">
            <v>0</v>
          </cell>
        </row>
        <row r="48">
          <cell r="H48">
            <v>0</v>
          </cell>
        </row>
      </sheetData>
      <sheetData sheetId="1"/>
      <sheetData sheetId="2"/>
      <sheetData sheetId="3"/>
      <sheetData sheetId="4"/>
      <sheetData sheetId="5"/>
      <sheetData sheetId="6"/>
      <sheetData sheetId="7">
        <row r="7">
          <cell r="H7" t="str">
            <v>Previous Qty</v>
          </cell>
        </row>
      </sheetData>
      <sheetData sheetId="8"/>
      <sheetData sheetId="9"/>
      <sheetData sheetId="10"/>
      <sheetData sheetId="11" refreshError="1"/>
      <sheetData sheetId="1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ST"/>
      <sheetName val="SUPER ST"/>
    </sheetNames>
    <sheetDataSet>
      <sheetData sheetId="0" refreshError="1"/>
      <sheetData sheetId="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A-2 300kp Shop Sup St."/>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RB A-2 300kp Shop Sub St."/>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8 Ar &amp; St"/>
      <sheetName val="E-1Justification"/>
      <sheetName val="Pay-Cirteficate"/>
      <sheetName val="08 Summary"/>
      <sheetName val="truss"/>
      <sheetName val=" Latice Purlin "/>
    </sheetNames>
    <sheetDataSet>
      <sheetData sheetId="0" refreshError="1">
        <row r="23">
          <cell r="M23">
            <v>48628.979999999996</v>
          </cell>
        </row>
      </sheetData>
      <sheetData sheetId="1"/>
      <sheetData sheetId="2"/>
      <sheetData sheetId="3">
        <row r="23">
          <cell r="M23">
            <v>48628.979999999996</v>
          </cell>
        </row>
      </sheetData>
      <sheetData sheetId="4"/>
      <sheetData sheetId="5"/>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B E-1 300kp SHOP. Sub St."/>
      <sheetName val="Block Summary"/>
      <sheetName val="Summary"/>
      <sheetName val="Sub Structure BC = 300"/>
      <sheetName val="Ar &amp; St"/>
      <sheetName val="E-1 300kp SHOP. Sub St."/>
      <sheetName val="E-1-300 Kpa"/>
      <sheetName val="masonary data "/>
      <sheetName val="E-1 300kp  Sup St."/>
      <sheetName val="RB E-1 300kp Res. Super St."/>
    </sheetNames>
    <sheetDataSet>
      <sheetData sheetId="0" refreshError="1">
        <row r="4">
          <cell r="D4" t="str">
            <v>Dia</v>
          </cell>
        </row>
        <row r="8">
          <cell r="D8">
            <v>14</v>
          </cell>
        </row>
        <row r="9">
          <cell r="D9">
            <v>8</v>
          </cell>
        </row>
        <row r="10">
          <cell r="D10">
            <v>14</v>
          </cell>
        </row>
        <row r="11">
          <cell r="D11">
            <v>8</v>
          </cell>
        </row>
        <row r="12">
          <cell r="D12">
            <v>12</v>
          </cell>
        </row>
        <row r="13">
          <cell r="D13">
            <v>8</v>
          </cell>
        </row>
        <row r="14">
          <cell r="D14">
            <v>12</v>
          </cell>
        </row>
        <row r="15">
          <cell r="D15">
            <v>8</v>
          </cell>
        </row>
        <row r="18">
          <cell r="D18">
            <v>16</v>
          </cell>
        </row>
        <row r="19">
          <cell r="D19">
            <v>8</v>
          </cell>
        </row>
        <row r="20">
          <cell r="D20">
            <v>20</v>
          </cell>
        </row>
        <row r="21">
          <cell r="D21">
            <v>8</v>
          </cell>
        </row>
        <row r="22">
          <cell r="D22">
            <v>20</v>
          </cell>
        </row>
        <row r="23">
          <cell r="D23">
            <v>8</v>
          </cell>
        </row>
        <row r="24">
          <cell r="D24">
            <v>16</v>
          </cell>
        </row>
        <row r="25">
          <cell r="D25">
            <v>8</v>
          </cell>
        </row>
        <row r="26">
          <cell r="D26">
            <v>16</v>
          </cell>
        </row>
        <row r="27">
          <cell r="D27">
            <v>8</v>
          </cell>
        </row>
        <row r="28">
          <cell r="D28">
            <v>20</v>
          </cell>
        </row>
        <row r="29">
          <cell r="D29">
            <v>8</v>
          </cell>
        </row>
        <row r="30">
          <cell r="D30">
            <v>20</v>
          </cell>
        </row>
        <row r="31">
          <cell r="D31">
            <v>8</v>
          </cell>
        </row>
        <row r="32">
          <cell r="D32">
            <v>16</v>
          </cell>
        </row>
        <row r="33">
          <cell r="D33">
            <v>8</v>
          </cell>
        </row>
        <row r="34">
          <cell r="D34">
            <v>16</v>
          </cell>
        </row>
        <row r="35">
          <cell r="D35">
            <v>8</v>
          </cell>
        </row>
        <row r="36">
          <cell r="D36">
            <v>20</v>
          </cell>
        </row>
        <row r="37">
          <cell r="D37">
            <v>8</v>
          </cell>
        </row>
        <row r="38">
          <cell r="D38">
            <v>20</v>
          </cell>
        </row>
        <row r="39">
          <cell r="D39">
            <v>8</v>
          </cell>
        </row>
        <row r="40">
          <cell r="D40">
            <v>20</v>
          </cell>
        </row>
        <row r="41">
          <cell r="D41">
            <v>8</v>
          </cell>
        </row>
        <row r="42">
          <cell r="D42">
            <v>20</v>
          </cell>
        </row>
        <row r="43">
          <cell r="D43">
            <v>8</v>
          </cell>
        </row>
        <row r="44">
          <cell r="D44">
            <v>20</v>
          </cell>
        </row>
        <row r="45">
          <cell r="D45">
            <v>8</v>
          </cell>
        </row>
        <row r="46">
          <cell r="D46">
            <v>20</v>
          </cell>
        </row>
        <row r="47">
          <cell r="D47">
            <v>8</v>
          </cell>
        </row>
        <row r="48">
          <cell r="D48">
            <v>16</v>
          </cell>
        </row>
        <row r="49">
          <cell r="D49">
            <v>8</v>
          </cell>
        </row>
        <row r="50">
          <cell r="D50">
            <v>16</v>
          </cell>
        </row>
        <row r="51">
          <cell r="D51">
            <v>8</v>
          </cell>
        </row>
        <row r="52">
          <cell r="D52">
            <v>20</v>
          </cell>
        </row>
        <row r="53">
          <cell r="D53">
            <v>8</v>
          </cell>
        </row>
        <row r="54">
          <cell r="D54">
            <v>20</v>
          </cell>
        </row>
        <row r="55">
          <cell r="D55">
            <v>8</v>
          </cell>
        </row>
        <row r="56">
          <cell r="D56">
            <v>16</v>
          </cell>
        </row>
        <row r="57">
          <cell r="D57">
            <v>8</v>
          </cell>
        </row>
        <row r="58">
          <cell r="D58">
            <v>16</v>
          </cell>
        </row>
        <row r="59">
          <cell r="D59">
            <v>8</v>
          </cell>
        </row>
        <row r="60">
          <cell r="D60">
            <v>20</v>
          </cell>
        </row>
        <row r="61">
          <cell r="D61">
            <v>8</v>
          </cell>
        </row>
        <row r="62">
          <cell r="D62">
            <v>20</v>
          </cell>
        </row>
        <row r="63">
          <cell r="D63">
            <v>8</v>
          </cell>
        </row>
        <row r="64">
          <cell r="D64">
            <v>16</v>
          </cell>
        </row>
        <row r="65">
          <cell r="D65">
            <v>8</v>
          </cell>
        </row>
        <row r="68">
          <cell r="D68">
            <v>14</v>
          </cell>
        </row>
        <row r="69">
          <cell r="D69">
            <v>14</v>
          </cell>
        </row>
        <row r="70">
          <cell r="D70">
            <v>12</v>
          </cell>
        </row>
        <row r="71">
          <cell r="D71">
            <v>12</v>
          </cell>
        </row>
        <row r="72">
          <cell r="D72">
            <v>14</v>
          </cell>
        </row>
        <row r="73">
          <cell r="D73">
            <v>8</v>
          </cell>
        </row>
        <row r="74">
          <cell r="D74">
            <v>14</v>
          </cell>
        </row>
        <row r="75">
          <cell r="D75">
            <v>14</v>
          </cell>
        </row>
        <row r="76">
          <cell r="D76">
            <v>12</v>
          </cell>
        </row>
        <row r="77">
          <cell r="D77">
            <v>12</v>
          </cell>
        </row>
        <row r="78">
          <cell r="D78">
            <v>8</v>
          </cell>
        </row>
        <row r="79">
          <cell r="D79">
            <v>14</v>
          </cell>
        </row>
        <row r="80">
          <cell r="D80">
            <v>12</v>
          </cell>
        </row>
        <row r="81">
          <cell r="D81">
            <v>8</v>
          </cell>
        </row>
        <row r="82">
          <cell r="D82">
            <v>14</v>
          </cell>
        </row>
        <row r="83">
          <cell r="D83">
            <v>12</v>
          </cell>
        </row>
        <row r="84">
          <cell r="D84">
            <v>8</v>
          </cell>
        </row>
        <row r="85">
          <cell r="D85">
            <v>14</v>
          </cell>
        </row>
        <row r="86">
          <cell r="D86">
            <v>12</v>
          </cell>
        </row>
        <row r="87">
          <cell r="D87">
            <v>8</v>
          </cell>
        </row>
        <row r="88">
          <cell r="D88">
            <v>14</v>
          </cell>
        </row>
        <row r="89">
          <cell r="D89">
            <v>12</v>
          </cell>
        </row>
        <row r="90">
          <cell r="D90">
            <v>8</v>
          </cell>
        </row>
        <row r="91">
          <cell r="D91">
            <v>14</v>
          </cell>
        </row>
        <row r="92">
          <cell r="D92">
            <v>12</v>
          </cell>
        </row>
        <row r="93">
          <cell r="D93">
            <v>8</v>
          </cell>
        </row>
        <row r="95">
          <cell r="D95">
            <v>6</v>
          </cell>
        </row>
        <row r="96">
          <cell r="D96">
            <v>6</v>
          </cell>
        </row>
        <row r="97">
          <cell r="D97">
            <v>6</v>
          </cell>
        </row>
        <row r="98">
          <cell r="D98">
            <v>6</v>
          </cell>
        </row>
        <row r="99">
          <cell r="D99">
            <v>6</v>
          </cell>
        </row>
        <row r="100">
          <cell r="D100">
            <v>6</v>
          </cell>
        </row>
        <row r="101">
          <cell r="D101">
            <v>6</v>
          </cell>
        </row>
        <row r="102">
          <cell r="D102">
            <v>6</v>
          </cell>
        </row>
        <row r="103">
          <cell r="D103">
            <v>6</v>
          </cell>
        </row>
        <row r="104">
          <cell r="D104">
            <v>6</v>
          </cell>
        </row>
        <row r="105">
          <cell r="D105">
            <v>6</v>
          </cell>
        </row>
        <row r="106">
          <cell r="D106">
            <v>6</v>
          </cell>
        </row>
        <row r="107">
          <cell r="D107">
            <v>6</v>
          </cell>
        </row>
        <row r="108">
          <cell r="D108">
            <v>6</v>
          </cell>
        </row>
        <row r="109">
          <cell r="D109">
            <v>6</v>
          </cell>
        </row>
      </sheetData>
      <sheetData sheetId="1" refreshError="1"/>
      <sheetData sheetId="2" refreshError="1"/>
      <sheetData sheetId="3" refreshError="1"/>
      <sheetData sheetId="4" refreshError="1"/>
      <sheetData sheetId="5" refreshError="1"/>
      <sheetData sheetId="6" refreshError="1"/>
      <sheetData sheetId="7" refreshError="1"/>
      <sheetData sheetId="8"/>
      <sheetData sheetId="9"/>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omon Weldu A2,E1-FevV"/>
      <sheetName val="BEREKET YEMANE-A2,E1-HENOKX"/>
      <sheetName val="SISAY GMARIAM,A2,A2-HENOKX"/>
      <sheetName val="YOKA CONS. A2,E1-YESHITILAX"/>
      <sheetName val="Tesfu Beyen- A2,E1-Fev X"/>
      <sheetName val="Sisay Tedla b.c.- A2,E1-FevX "/>
      <sheetName val="Wendwessen- A2,A1-fevenV "/>
      <sheetName val="Teshale Asrat- E2,E1-YeteshaX"/>
      <sheetName val="Adot con.- A2,E1-YeteshaX"/>
      <sheetName val="Eshetu Yirdaw bc.-A2,E1-TsedeyV"/>
      <sheetName val="Amha Wegayehu- E2,E1-Tsedey"/>
      <sheetName val="Sara B.c.- A2,E1-TsedeyV"/>
      <sheetName val="Seid Abdela-A2,E1-TsedeyV"/>
      <sheetName val="kinfe hailu,e1,a2(dagne)X"/>
      <sheetName val="mathios teshome E1,E2 (dagne)X"/>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6 to 08 Ar &amp; St"/>
      <sheetName val="05 Block Summary"/>
      <sheetName val="05 Summary"/>
      <sheetName val="05 Sub Structure BC = 300"/>
      <sheetName val="06 to 08 A-2 300kp Res. Sub St."/>
      <sheetName val="05 RB A-2 300kp Res. Sub St."/>
      <sheetName val="05 A-2 300kp Res. Sup St."/>
      <sheetName val="05 RB A-2 300kp Res. Super St."/>
      <sheetName val="A-2 blcok work Res."/>
      <sheetName val="Structural Steel Works"/>
      <sheetName val="Block C take off"/>
    </sheetNames>
    <sheetDataSet>
      <sheetData sheetId="0" refreshError="1">
        <row r="2">
          <cell r="E2" t="str">
            <v>PROJECT:</v>
          </cell>
        </row>
        <row r="69">
          <cell r="M69">
            <v>6342</v>
          </cell>
        </row>
      </sheetData>
      <sheetData sheetId="1" refreshError="1"/>
      <sheetData sheetId="2">
        <row r="2">
          <cell r="E2" t="str">
            <v>PROJECT:</v>
          </cell>
        </row>
      </sheetData>
      <sheetData sheetId="3">
        <row r="2">
          <cell r="E2" t="str">
            <v>PROJECT:</v>
          </cell>
        </row>
      </sheetData>
      <sheetData sheetId="4" refreshError="1"/>
      <sheetData sheetId="5">
        <row r="2">
          <cell r="E2" t="str">
            <v>PROJECT:</v>
          </cell>
        </row>
      </sheetData>
      <sheetData sheetId="6" refreshError="1"/>
      <sheetData sheetId="7" refreshError="1"/>
      <sheetData sheetId="8">
        <row r="1">
          <cell r="B1" t="str">
            <v>Project: Low Cost Housing Development Project</v>
          </cell>
        </row>
      </sheetData>
      <sheetData sheetId="9"/>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HS and Lattice purline A-2"/>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ls of Quantities"/>
      <sheetName val="Dayworks Bill"/>
      <sheetName val="Summary of Contract"/>
      <sheetName val="specification"/>
      <sheetName val="Sheet1"/>
      <sheetName val="1300"/>
      <sheetName val="MOTOR"/>
      <sheetName val="Sheet4"/>
      <sheetName val="Cash Flow"/>
      <sheetName val="G+4"/>
      <sheetName val="06 to 08 Ar &amp; St"/>
      <sheetName val="자압"/>
      <sheetName val="RB E-1 300kp SHOP. Sub St."/>
      <sheetName val="Design calc"/>
      <sheetName val="Equipment"/>
      <sheetName val="Material"/>
      <sheetName val="Rates"/>
    </sheetNames>
    <sheetDataSet>
      <sheetData sheetId="0" refreshError="1">
        <row r="17">
          <cell r="O17">
            <v>327.05</v>
          </cell>
        </row>
        <row r="30">
          <cell r="O30">
            <v>13065</v>
          </cell>
        </row>
        <row r="89">
          <cell r="O89">
            <v>77233.5</v>
          </cell>
        </row>
        <row r="126">
          <cell r="O126">
            <v>363006.8</v>
          </cell>
        </row>
        <row r="151">
          <cell r="O151">
            <v>11442</v>
          </cell>
        </row>
        <row r="201">
          <cell r="O201">
            <v>11134045</v>
          </cell>
        </row>
      </sheetData>
      <sheetData sheetId="1"/>
      <sheetData sheetId="2" refreshError="1"/>
      <sheetData sheetId="3">
        <row r="17">
          <cell r="O17">
            <v>327.05</v>
          </cell>
        </row>
      </sheetData>
      <sheetData sheetId="4">
        <row r="17">
          <cell r="O17">
            <v>327.05</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
    </sheet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indows and Door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L -1  sub R-bar for 200Kpa "/>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 &amp; St"/>
      <sheetName val="E-1 200kp  Sup St."/>
      <sheetName val="Block Summary"/>
      <sheetName val="Summary"/>
      <sheetName val="Sub Structure BC = 200"/>
      <sheetName val="E-1 200kp Res. Sub St."/>
      <sheetName val="Excavation data"/>
      <sheetName val="E1 trench &amp; masonary "/>
      <sheetName val="RB E-1 200kp Res. Sub St."/>
      <sheetName val="RB E-1 200kp Res. Super St."/>
      <sheetName val="E-1 Block Work Residence"/>
      <sheetName val="Roofing"/>
      <sheetName val="E-1 Plate Qty old drwg"/>
      <sheetName val="Truss"/>
      <sheetName val="Latice Purlin "/>
      <sheetName val="Plastering for Res."/>
      <sheetName val="E-1 Plate Qty NEW DRWG"/>
      <sheetName val="Truss old drwg"/>
      <sheetName val="Truss new drwg"/>
      <sheetName val="Latice Purlin  Old drwg"/>
      <sheetName val=" Latice Pulin new drwg "/>
    </sheetNames>
    <sheetDataSet>
      <sheetData sheetId="0" refreshError="1">
        <row r="46">
          <cell r="M46">
            <v>197069.65000000002</v>
          </cell>
        </row>
      </sheetData>
      <sheetData sheetId="1" refreshError="1">
        <row r="1">
          <cell r="B1" t="str">
            <v>Project: Low Cost Housing Development Project</v>
          </cell>
        </row>
        <row r="2">
          <cell r="B2" t="str">
            <v>Location: Jemmo II</v>
          </cell>
        </row>
        <row r="3">
          <cell r="B3" t="str">
            <v>Client: Nifasilk Lafto Sub-City</v>
          </cell>
        </row>
        <row r="4">
          <cell r="B4" t="str">
            <v>Contractor: BEHAILU YESEGATE B.C</v>
          </cell>
        </row>
        <row r="5">
          <cell r="B5" t="str">
            <v>Consultant: MGM Consult PLC</v>
          </cell>
        </row>
        <row r="6">
          <cell r="A6" t="str">
            <v>Code</v>
          </cell>
          <cell r="B6" t="str">
            <v>Timizing</v>
          </cell>
          <cell r="E6" t="str">
            <v>Dimension</v>
          </cell>
          <cell r="F6" t="str">
            <v>Qty</v>
          </cell>
        </row>
        <row r="13">
          <cell r="B13">
            <v>1</v>
          </cell>
          <cell r="C13">
            <v>1</v>
          </cell>
          <cell r="D13">
            <v>18</v>
          </cell>
          <cell r="E13">
            <v>0.25</v>
          </cell>
        </row>
        <row r="14">
          <cell r="E14">
            <v>0.4</v>
          </cell>
        </row>
        <row r="15">
          <cell r="E15">
            <v>2.4</v>
          </cell>
        </row>
        <row r="16">
          <cell r="F16">
            <v>4.32</v>
          </cell>
        </row>
        <row r="17">
          <cell r="B17">
            <v>1</v>
          </cell>
          <cell r="C17">
            <v>1</v>
          </cell>
          <cell r="D17">
            <v>6</v>
          </cell>
          <cell r="E17">
            <v>0.3</v>
          </cell>
        </row>
        <row r="18">
          <cell r="E18">
            <v>0.4</v>
          </cell>
        </row>
        <row r="19">
          <cell r="E19">
            <v>2.4</v>
          </cell>
        </row>
        <row r="20">
          <cell r="F20">
            <v>1.73</v>
          </cell>
        </row>
        <row r="22">
          <cell r="B22">
            <v>1</v>
          </cell>
          <cell r="C22">
            <v>3</v>
          </cell>
          <cell r="D22">
            <v>24</v>
          </cell>
          <cell r="E22">
            <v>0.25</v>
          </cell>
        </row>
        <row r="23">
          <cell r="E23">
            <v>0.4</v>
          </cell>
        </row>
        <row r="24">
          <cell r="E24">
            <v>2.4</v>
          </cell>
        </row>
        <row r="25">
          <cell r="F25">
            <v>17.28</v>
          </cell>
        </row>
        <row r="27">
          <cell r="B27">
            <v>1</v>
          </cell>
          <cell r="C27">
            <v>1</v>
          </cell>
          <cell r="D27">
            <v>24</v>
          </cell>
          <cell r="E27">
            <v>0.25</v>
          </cell>
        </row>
        <row r="28">
          <cell r="E28">
            <v>0.4</v>
          </cell>
        </row>
        <row r="29">
          <cell r="E29">
            <v>2.58</v>
          </cell>
        </row>
        <row r="30">
          <cell r="F30">
            <v>6.19</v>
          </cell>
        </row>
        <row r="31">
          <cell r="A31" t="str">
            <v>C1.1a</v>
          </cell>
          <cell r="F31">
            <v>29.520000000000003</v>
          </cell>
        </row>
        <row r="35">
          <cell r="B35">
            <v>1</v>
          </cell>
          <cell r="C35">
            <v>4</v>
          </cell>
          <cell r="D35">
            <v>4</v>
          </cell>
          <cell r="E35">
            <v>8.1999999999999993</v>
          </cell>
        </row>
        <row r="36">
          <cell r="E36">
            <v>0.2</v>
          </cell>
        </row>
        <row r="37">
          <cell r="E37">
            <v>0.48</v>
          </cell>
        </row>
        <row r="38">
          <cell r="F38">
            <v>12.6</v>
          </cell>
        </row>
        <row r="39">
          <cell r="B39">
            <v>1</v>
          </cell>
          <cell r="C39">
            <v>4</v>
          </cell>
          <cell r="D39">
            <v>4</v>
          </cell>
          <cell r="E39">
            <v>9.5300000000000011</v>
          </cell>
        </row>
        <row r="40">
          <cell r="E40">
            <v>0.2</v>
          </cell>
        </row>
        <row r="41">
          <cell r="E41">
            <v>0.48</v>
          </cell>
        </row>
        <row r="42">
          <cell r="F42">
            <v>14.64</v>
          </cell>
        </row>
        <row r="43">
          <cell r="B43">
            <v>1</v>
          </cell>
          <cell r="C43">
            <v>4</v>
          </cell>
          <cell r="D43">
            <v>2</v>
          </cell>
          <cell r="E43">
            <v>30.520000000000003</v>
          </cell>
        </row>
        <row r="44">
          <cell r="E44">
            <v>0.2</v>
          </cell>
        </row>
        <row r="45">
          <cell r="E45">
            <v>0.48</v>
          </cell>
        </row>
        <row r="46">
          <cell r="F46">
            <v>23.44</v>
          </cell>
        </row>
        <row r="47">
          <cell r="B47">
            <v>1</v>
          </cell>
          <cell r="C47">
            <v>4</v>
          </cell>
          <cell r="D47">
            <v>2</v>
          </cell>
          <cell r="E47">
            <v>3.84</v>
          </cell>
        </row>
        <row r="48">
          <cell r="E48">
            <v>0.2</v>
          </cell>
        </row>
        <row r="49">
          <cell r="E49">
            <v>0.48</v>
          </cell>
        </row>
        <row r="50">
          <cell r="F50">
            <v>2.95</v>
          </cell>
        </row>
        <row r="51">
          <cell r="B51">
            <v>1</v>
          </cell>
          <cell r="C51">
            <v>4</v>
          </cell>
          <cell r="D51">
            <v>1</v>
          </cell>
          <cell r="E51">
            <v>9.6999999999999993</v>
          </cell>
        </row>
        <row r="52">
          <cell r="E52">
            <v>0.2</v>
          </cell>
        </row>
        <row r="53">
          <cell r="E53">
            <v>0.48</v>
          </cell>
        </row>
        <row r="54">
          <cell r="F54">
            <v>3.72</v>
          </cell>
        </row>
        <row r="55">
          <cell r="B55">
            <v>1</v>
          </cell>
          <cell r="C55">
            <v>4</v>
          </cell>
          <cell r="D55">
            <v>1</v>
          </cell>
          <cell r="E55">
            <v>3.79</v>
          </cell>
        </row>
        <row r="56">
          <cell r="E56">
            <v>0.2</v>
          </cell>
        </row>
        <row r="57">
          <cell r="E57">
            <v>0.4</v>
          </cell>
        </row>
        <row r="58">
          <cell r="F58">
            <v>1.21</v>
          </cell>
        </row>
        <row r="60">
          <cell r="B60">
            <v>1</v>
          </cell>
          <cell r="C60">
            <v>1</v>
          </cell>
          <cell r="D60">
            <v>18</v>
          </cell>
          <cell r="E60">
            <v>0.25</v>
          </cell>
        </row>
        <row r="61">
          <cell r="E61">
            <v>0.4</v>
          </cell>
        </row>
        <row r="62">
          <cell r="E62">
            <v>0.48</v>
          </cell>
        </row>
        <row r="63">
          <cell r="F63">
            <v>0.86</v>
          </cell>
        </row>
        <row r="64">
          <cell r="B64">
            <v>1</v>
          </cell>
          <cell r="C64">
            <v>1</v>
          </cell>
          <cell r="D64">
            <v>6</v>
          </cell>
          <cell r="E64">
            <v>0.3</v>
          </cell>
        </row>
        <row r="65">
          <cell r="E65">
            <v>0.4</v>
          </cell>
        </row>
        <row r="66">
          <cell r="E66">
            <v>0.48</v>
          </cell>
        </row>
        <row r="67">
          <cell r="F67">
            <v>0.35</v>
          </cell>
        </row>
        <row r="69">
          <cell r="B69">
            <v>1</v>
          </cell>
          <cell r="C69">
            <v>3</v>
          </cell>
          <cell r="D69">
            <v>24</v>
          </cell>
          <cell r="E69">
            <v>0.25</v>
          </cell>
        </row>
        <row r="70">
          <cell r="E70">
            <v>0.4</v>
          </cell>
        </row>
        <row r="71">
          <cell r="E71">
            <v>0.48</v>
          </cell>
        </row>
        <row r="72">
          <cell r="F72">
            <v>3.46</v>
          </cell>
        </row>
        <row r="74">
          <cell r="B74">
            <v>1</v>
          </cell>
          <cell r="C74">
            <v>1</v>
          </cell>
          <cell r="D74">
            <v>4</v>
          </cell>
          <cell r="E74">
            <v>8.1999999999999993</v>
          </cell>
        </row>
        <row r="75">
          <cell r="E75">
            <v>0.2</v>
          </cell>
        </row>
        <row r="76">
          <cell r="E76">
            <v>0.3</v>
          </cell>
        </row>
        <row r="77">
          <cell r="F77">
            <v>1.97</v>
          </cell>
        </row>
        <row r="78">
          <cell r="B78">
            <v>1</v>
          </cell>
          <cell r="C78">
            <v>1</v>
          </cell>
          <cell r="D78">
            <v>4</v>
          </cell>
          <cell r="E78">
            <v>9.5300000000000011</v>
          </cell>
        </row>
        <row r="79">
          <cell r="E79">
            <v>0.2</v>
          </cell>
        </row>
        <row r="80">
          <cell r="E80">
            <v>0.3</v>
          </cell>
        </row>
        <row r="81">
          <cell r="F81">
            <v>2.29</v>
          </cell>
        </row>
        <row r="82">
          <cell r="B82">
            <v>1</v>
          </cell>
          <cell r="C82">
            <v>1</v>
          </cell>
          <cell r="D82">
            <v>2</v>
          </cell>
          <cell r="E82">
            <v>5</v>
          </cell>
        </row>
        <row r="83">
          <cell r="E83">
            <v>0.2</v>
          </cell>
        </row>
        <row r="84">
          <cell r="E84">
            <v>0.3</v>
          </cell>
        </row>
        <row r="85">
          <cell r="F85">
            <v>0.6</v>
          </cell>
        </row>
        <row r="86">
          <cell r="B86">
            <v>1</v>
          </cell>
          <cell r="C86">
            <v>1</v>
          </cell>
          <cell r="D86">
            <v>1</v>
          </cell>
          <cell r="E86">
            <v>9.6999999999999993</v>
          </cell>
        </row>
        <row r="87">
          <cell r="E87">
            <v>0.2</v>
          </cell>
        </row>
        <row r="88">
          <cell r="E88">
            <v>0.3</v>
          </cell>
        </row>
        <row r="89">
          <cell r="F89">
            <v>0.57999999999999996</v>
          </cell>
        </row>
        <row r="90">
          <cell r="B90">
            <v>1</v>
          </cell>
          <cell r="C90">
            <v>1</v>
          </cell>
          <cell r="D90">
            <v>1</v>
          </cell>
          <cell r="E90">
            <v>20.92</v>
          </cell>
        </row>
        <row r="91">
          <cell r="E91">
            <v>0.2</v>
          </cell>
        </row>
        <row r="92">
          <cell r="E92">
            <v>0.3</v>
          </cell>
        </row>
        <row r="93">
          <cell r="F93">
            <v>1.26</v>
          </cell>
        </row>
        <row r="94">
          <cell r="B94">
            <v>1</v>
          </cell>
          <cell r="C94">
            <v>1</v>
          </cell>
          <cell r="D94">
            <v>1</v>
          </cell>
          <cell r="E94">
            <v>3.84</v>
          </cell>
        </row>
        <row r="95">
          <cell r="E95">
            <v>0.2</v>
          </cell>
        </row>
        <row r="96">
          <cell r="E96">
            <v>0.3</v>
          </cell>
        </row>
        <row r="98">
          <cell r="B98">
            <v>1</v>
          </cell>
          <cell r="C98">
            <v>1</v>
          </cell>
          <cell r="D98">
            <v>1</v>
          </cell>
          <cell r="E98">
            <v>9.6</v>
          </cell>
        </row>
        <row r="99">
          <cell r="E99">
            <v>0.2</v>
          </cell>
        </row>
        <row r="100">
          <cell r="E100">
            <v>0.3</v>
          </cell>
        </row>
        <row r="101">
          <cell r="F101">
            <v>0.57999999999999996</v>
          </cell>
        </row>
        <row r="102">
          <cell r="B102">
            <v>1</v>
          </cell>
          <cell r="C102">
            <v>1</v>
          </cell>
          <cell r="D102">
            <v>1</v>
          </cell>
          <cell r="E102">
            <v>17.38</v>
          </cell>
        </row>
        <row r="103">
          <cell r="E103">
            <v>0.2</v>
          </cell>
        </row>
        <row r="104">
          <cell r="E104">
            <v>0.3</v>
          </cell>
        </row>
        <row r="105">
          <cell r="F105">
            <v>1.04</v>
          </cell>
        </row>
        <row r="106">
          <cell r="B106">
            <v>1</v>
          </cell>
          <cell r="C106">
            <v>1</v>
          </cell>
          <cell r="D106">
            <v>1</v>
          </cell>
          <cell r="E106">
            <v>30.520000000000003</v>
          </cell>
        </row>
        <row r="107">
          <cell r="E107">
            <v>0.2</v>
          </cell>
        </row>
        <row r="108">
          <cell r="E108">
            <v>0.3</v>
          </cell>
        </row>
        <row r="109">
          <cell r="F109">
            <v>1.83</v>
          </cell>
        </row>
        <row r="111">
          <cell r="B111">
            <v>1</v>
          </cell>
          <cell r="C111">
            <v>1</v>
          </cell>
          <cell r="D111">
            <v>24</v>
          </cell>
          <cell r="E111">
            <v>0.25</v>
          </cell>
        </row>
        <row r="112">
          <cell r="E112">
            <v>0.4</v>
          </cell>
        </row>
        <row r="113">
          <cell r="E113">
            <v>0.3</v>
          </cell>
        </row>
        <row r="114">
          <cell r="F114">
            <v>0.72</v>
          </cell>
        </row>
        <row r="115">
          <cell r="A115" t="str">
            <v>C1.1b</v>
          </cell>
          <cell r="F115">
            <v>74.099999999999994</v>
          </cell>
        </row>
        <row r="117">
          <cell r="B117">
            <v>1</v>
          </cell>
          <cell r="C117">
            <v>1</v>
          </cell>
          <cell r="D117">
            <v>1</v>
          </cell>
          <cell r="E117">
            <v>2.8795000000000002</v>
          </cell>
        </row>
        <row r="118">
          <cell r="E118">
            <v>1.35</v>
          </cell>
        </row>
        <row r="119">
          <cell r="E119">
            <v>0.15</v>
          </cell>
        </row>
        <row r="120">
          <cell r="F120">
            <v>0.57999999999999996</v>
          </cell>
        </row>
        <row r="121">
          <cell r="B121">
            <v>1</v>
          </cell>
          <cell r="C121">
            <v>1</v>
          </cell>
          <cell r="D121">
            <v>4</v>
          </cell>
          <cell r="E121">
            <v>3.1139999999999999</v>
          </cell>
        </row>
        <row r="122">
          <cell r="E122">
            <v>1.35</v>
          </cell>
        </row>
        <row r="123">
          <cell r="E123">
            <v>0.15</v>
          </cell>
        </row>
        <row r="124">
          <cell r="F124">
            <v>2.52</v>
          </cell>
        </row>
        <row r="125">
          <cell r="B125">
            <v>1</v>
          </cell>
          <cell r="C125">
            <v>1</v>
          </cell>
          <cell r="D125">
            <v>3</v>
          </cell>
          <cell r="E125">
            <v>3.044</v>
          </cell>
        </row>
        <row r="126">
          <cell r="E126">
            <v>1.35</v>
          </cell>
        </row>
        <row r="127">
          <cell r="E127">
            <v>0.15</v>
          </cell>
        </row>
        <row r="128">
          <cell r="F128">
            <v>1.85</v>
          </cell>
        </row>
        <row r="129">
          <cell r="B129">
            <v>1</v>
          </cell>
          <cell r="C129">
            <v>9</v>
          </cell>
          <cell r="D129">
            <v>8</v>
          </cell>
          <cell r="E129">
            <v>0.3</v>
          </cell>
        </row>
        <row r="130">
          <cell r="E130">
            <v>1.35</v>
          </cell>
        </row>
        <row r="131">
          <cell r="E131">
            <v>0.16</v>
          </cell>
        </row>
        <row r="132">
          <cell r="E132">
            <v>0.5</v>
          </cell>
        </row>
        <row r="133">
          <cell r="F133">
            <v>2.33</v>
          </cell>
        </row>
        <row r="134">
          <cell r="B134">
            <v>1</v>
          </cell>
          <cell r="C134">
            <v>1</v>
          </cell>
          <cell r="D134">
            <v>4</v>
          </cell>
          <cell r="E134">
            <v>3.84</v>
          </cell>
        </row>
        <row r="135">
          <cell r="E135">
            <v>0.81499999999999995</v>
          </cell>
        </row>
        <row r="136">
          <cell r="E136">
            <v>0.15</v>
          </cell>
        </row>
        <row r="137">
          <cell r="F137">
            <v>1.88</v>
          </cell>
        </row>
        <row r="138">
          <cell r="B138">
            <v>1</v>
          </cell>
          <cell r="C138">
            <v>1</v>
          </cell>
          <cell r="D138">
            <v>4</v>
          </cell>
          <cell r="E138">
            <v>3.84</v>
          </cell>
        </row>
        <row r="139">
          <cell r="E139">
            <v>0.32350000000000001</v>
          </cell>
        </row>
        <row r="140">
          <cell r="E140">
            <v>0.15</v>
          </cell>
        </row>
        <row r="141">
          <cell r="F141">
            <v>0.75</v>
          </cell>
        </row>
        <row r="142">
          <cell r="B142">
            <v>1</v>
          </cell>
          <cell r="C142">
            <v>1</v>
          </cell>
          <cell r="D142">
            <v>3</v>
          </cell>
          <cell r="E142">
            <v>2.4900000000000002</v>
          </cell>
          <cell r="F142" t="str">
            <v/>
          </cell>
        </row>
        <row r="143">
          <cell r="E143">
            <v>0.39349999999999996</v>
          </cell>
        </row>
        <row r="144">
          <cell r="E144">
            <v>0.15</v>
          </cell>
        </row>
        <row r="145">
          <cell r="F145">
            <v>0.44</v>
          </cell>
        </row>
        <row r="146">
          <cell r="A146" t="str">
            <v>C1.1c</v>
          </cell>
          <cell r="F146">
            <v>10.35</v>
          </cell>
        </row>
        <row r="149">
          <cell r="B149">
            <v>1</v>
          </cell>
          <cell r="C149">
            <v>4</v>
          </cell>
          <cell r="D149">
            <v>26</v>
          </cell>
          <cell r="E149">
            <v>0.51</v>
          </cell>
        </row>
        <row r="150">
          <cell r="E150">
            <v>0.2</v>
          </cell>
        </row>
        <row r="151">
          <cell r="E151">
            <v>0.22</v>
          </cell>
        </row>
        <row r="152">
          <cell r="F152">
            <v>2.33</v>
          </cell>
        </row>
        <row r="153">
          <cell r="B153">
            <v>1</v>
          </cell>
          <cell r="C153">
            <v>4</v>
          </cell>
          <cell r="D153">
            <v>14</v>
          </cell>
          <cell r="E153">
            <v>0.25</v>
          </cell>
        </row>
        <row r="154">
          <cell r="E154">
            <v>0.2</v>
          </cell>
        </row>
        <row r="155">
          <cell r="E155">
            <v>0.22</v>
          </cell>
        </row>
        <row r="156">
          <cell r="F156">
            <v>0.62</v>
          </cell>
        </row>
        <row r="157">
          <cell r="A157" t="str">
            <v>C1.1d</v>
          </cell>
          <cell r="F157">
            <v>2.95</v>
          </cell>
        </row>
        <row r="160">
          <cell r="B160">
            <v>4</v>
          </cell>
          <cell r="C160">
            <v>1</v>
          </cell>
          <cell r="D160">
            <v>1</v>
          </cell>
          <cell r="E160">
            <v>2.2200000000000002</v>
          </cell>
        </row>
        <row r="161">
          <cell r="E161">
            <v>1.7549999999999999</v>
          </cell>
        </row>
        <row r="162">
          <cell r="E162">
            <v>0.06</v>
          </cell>
        </row>
        <row r="163">
          <cell r="F163">
            <v>0.94</v>
          </cell>
        </row>
        <row r="164">
          <cell r="B164">
            <v>4</v>
          </cell>
          <cell r="C164">
            <v>1</v>
          </cell>
          <cell r="D164">
            <v>1</v>
          </cell>
          <cell r="E164">
            <v>1.8149999999999999</v>
          </cell>
        </row>
        <row r="165">
          <cell r="E165">
            <v>1.37</v>
          </cell>
        </row>
        <row r="166">
          <cell r="E166">
            <v>0.06</v>
          </cell>
        </row>
        <row r="167">
          <cell r="F167">
            <v>0.6</v>
          </cell>
        </row>
        <row r="168">
          <cell r="B168">
            <v>4</v>
          </cell>
          <cell r="C168">
            <v>1</v>
          </cell>
          <cell r="D168">
            <v>2</v>
          </cell>
          <cell r="E168">
            <v>2.125</v>
          </cell>
        </row>
        <row r="169">
          <cell r="E169">
            <v>1.61</v>
          </cell>
        </row>
        <row r="170">
          <cell r="E170">
            <v>0.06</v>
          </cell>
        </row>
        <row r="171">
          <cell r="F171">
            <v>1.64</v>
          </cell>
        </row>
        <row r="172">
          <cell r="B172">
            <v>4</v>
          </cell>
          <cell r="C172">
            <v>1</v>
          </cell>
          <cell r="D172">
            <v>1</v>
          </cell>
          <cell r="E172">
            <v>1.61</v>
          </cell>
        </row>
        <row r="173">
          <cell r="E173">
            <v>2.2000000000000002</v>
          </cell>
        </row>
        <row r="174">
          <cell r="E174">
            <v>0.06</v>
          </cell>
        </row>
        <row r="175">
          <cell r="F175">
            <v>0.85</v>
          </cell>
        </row>
        <row r="176">
          <cell r="B176">
            <v>4</v>
          </cell>
          <cell r="C176">
            <v>1</v>
          </cell>
          <cell r="D176">
            <v>1</v>
          </cell>
          <cell r="E176">
            <v>1.41</v>
          </cell>
        </row>
        <row r="177">
          <cell r="E177">
            <v>1.8</v>
          </cell>
        </row>
        <row r="178">
          <cell r="E178">
            <v>0.06</v>
          </cell>
        </row>
        <row r="179">
          <cell r="F179">
            <v>0.61</v>
          </cell>
        </row>
        <row r="180">
          <cell r="A180" t="str">
            <v>C1.1e</v>
          </cell>
          <cell r="F180">
            <v>4.6399999999999997</v>
          </cell>
        </row>
        <row r="183">
          <cell r="B183">
            <v>1</v>
          </cell>
          <cell r="C183">
            <v>1</v>
          </cell>
          <cell r="D183">
            <v>2</v>
          </cell>
          <cell r="E183">
            <v>4.8499999999999996</v>
          </cell>
        </row>
        <row r="184">
          <cell r="E184">
            <v>9</v>
          </cell>
        </row>
        <row r="185">
          <cell r="F185">
            <v>87.3</v>
          </cell>
        </row>
        <row r="186">
          <cell r="B186">
            <v>1</v>
          </cell>
          <cell r="C186">
            <v>1</v>
          </cell>
          <cell r="D186">
            <v>2</v>
          </cell>
          <cell r="E186">
            <v>4.8499999999999996</v>
          </cell>
        </row>
        <row r="187">
          <cell r="E187">
            <v>10.130000000000001</v>
          </cell>
        </row>
        <row r="188">
          <cell r="F188">
            <v>98.26</v>
          </cell>
        </row>
        <row r="189">
          <cell r="B189">
            <v>1</v>
          </cell>
          <cell r="C189">
            <v>1</v>
          </cell>
          <cell r="D189">
            <v>2</v>
          </cell>
          <cell r="E189">
            <v>3.84</v>
          </cell>
        </row>
        <row r="190">
          <cell r="E190">
            <v>9</v>
          </cell>
        </row>
        <row r="191">
          <cell r="F191">
            <v>69.12</v>
          </cell>
        </row>
        <row r="192">
          <cell r="B192">
            <v>1</v>
          </cell>
          <cell r="C192">
            <v>1</v>
          </cell>
          <cell r="D192">
            <v>1</v>
          </cell>
          <cell r="E192">
            <v>3.84</v>
          </cell>
        </row>
        <row r="193">
          <cell r="E193">
            <v>4.51</v>
          </cell>
        </row>
        <row r="194">
          <cell r="F194">
            <v>17.32</v>
          </cell>
        </row>
        <row r="195">
          <cell r="F195">
            <v>272</v>
          </cell>
        </row>
        <row r="197">
          <cell r="B197">
            <v>1</v>
          </cell>
          <cell r="C197">
            <v>1</v>
          </cell>
          <cell r="D197">
            <v>1</v>
          </cell>
          <cell r="E197">
            <v>272</v>
          </cell>
          <cell r="F197">
            <v>272</v>
          </cell>
        </row>
        <row r="198">
          <cell r="A198" t="str">
            <v>C1.2a</v>
          </cell>
          <cell r="F198">
            <v>272</v>
          </cell>
        </row>
        <row r="200">
          <cell r="B200">
            <v>1</v>
          </cell>
          <cell r="C200">
            <v>1</v>
          </cell>
          <cell r="D200">
            <v>1</v>
          </cell>
          <cell r="E200">
            <v>272</v>
          </cell>
          <cell r="F200">
            <v>272</v>
          </cell>
        </row>
        <row r="201">
          <cell r="A201" t="str">
            <v>C1.2b</v>
          </cell>
          <cell r="F201">
            <v>272</v>
          </cell>
        </row>
        <row r="203">
          <cell r="B203">
            <v>1</v>
          </cell>
          <cell r="C203">
            <v>1</v>
          </cell>
          <cell r="D203">
            <v>1</v>
          </cell>
          <cell r="E203">
            <v>272</v>
          </cell>
          <cell r="F203">
            <v>272</v>
          </cell>
        </row>
        <row r="204">
          <cell r="A204" t="str">
            <v>C1.2c</v>
          </cell>
          <cell r="F204">
            <v>272</v>
          </cell>
        </row>
        <row r="206">
          <cell r="B206">
            <v>1</v>
          </cell>
          <cell r="C206">
            <v>1</v>
          </cell>
          <cell r="D206">
            <v>1</v>
          </cell>
          <cell r="E206">
            <v>272</v>
          </cell>
          <cell r="F206">
            <v>272</v>
          </cell>
        </row>
        <row r="207">
          <cell r="A207" t="str">
            <v>C1.2d</v>
          </cell>
          <cell r="F207">
            <v>272</v>
          </cell>
        </row>
        <row r="211">
          <cell r="B211">
            <v>1</v>
          </cell>
          <cell r="C211">
            <v>1</v>
          </cell>
          <cell r="D211">
            <v>4</v>
          </cell>
          <cell r="E211">
            <v>58</v>
          </cell>
        </row>
        <row r="212">
          <cell r="A212" t="str">
            <v>C1.2e</v>
          </cell>
          <cell r="F212">
            <v>232</v>
          </cell>
        </row>
        <row r="215">
          <cell r="B215">
            <v>1</v>
          </cell>
          <cell r="C215">
            <v>1</v>
          </cell>
          <cell r="D215">
            <v>4</v>
          </cell>
          <cell r="E215">
            <v>34</v>
          </cell>
        </row>
        <row r="216">
          <cell r="A216" t="str">
            <v>C1.2f</v>
          </cell>
          <cell r="F216">
            <v>136</v>
          </cell>
        </row>
        <row r="221">
          <cell r="B221">
            <v>1</v>
          </cell>
          <cell r="C221">
            <v>1</v>
          </cell>
          <cell r="D221">
            <v>18</v>
          </cell>
          <cell r="E221">
            <v>1.3</v>
          </cell>
        </row>
        <row r="222">
          <cell r="E222">
            <v>2.4</v>
          </cell>
        </row>
        <row r="223">
          <cell r="F223">
            <v>56.16</v>
          </cell>
        </row>
        <row r="224">
          <cell r="B224">
            <v>1</v>
          </cell>
          <cell r="C224">
            <v>1</v>
          </cell>
          <cell r="D224">
            <v>6</v>
          </cell>
          <cell r="E224">
            <v>1.4</v>
          </cell>
        </row>
        <row r="225">
          <cell r="E225">
            <v>2.4</v>
          </cell>
        </row>
        <row r="226">
          <cell r="F226">
            <v>20.16</v>
          </cell>
        </row>
        <row r="228">
          <cell r="B228">
            <v>1</v>
          </cell>
          <cell r="C228">
            <v>3</v>
          </cell>
          <cell r="D228">
            <v>24</v>
          </cell>
          <cell r="E228">
            <v>1.3</v>
          </cell>
        </row>
        <row r="229">
          <cell r="E229">
            <v>2.4</v>
          </cell>
        </row>
        <row r="230">
          <cell r="F230">
            <v>224.64</v>
          </cell>
        </row>
        <row r="232">
          <cell r="B232">
            <v>1</v>
          </cell>
          <cell r="C232">
            <v>1</v>
          </cell>
          <cell r="D232">
            <v>24</v>
          </cell>
          <cell r="E232">
            <v>1.3</v>
          </cell>
        </row>
        <row r="233">
          <cell r="E233">
            <v>2.58</v>
          </cell>
        </row>
        <row r="234">
          <cell r="F234">
            <v>80.5</v>
          </cell>
        </row>
        <row r="235">
          <cell r="A235" t="str">
            <v>C1.3a</v>
          </cell>
          <cell r="F235">
            <v>381.46</v>
          </cell>
        </row>
        <row r="240">
          <cell r="B240">
            <v>1</v>
          </cell>
          <cell r="C240">
            <v>4</v>
          </cell>
          <cell r="D240">
            <v>2</v>
          </cell>
          <cell r="E240">
            <v>9.4</v>
          </cell>
        </row>
        <row r="241">
          <cell r="E241">
            <v>0.48</v>
          </cell>
        </row>
        <row r="242">
          <cell r="F242">
            <v>36.1</v>
          </cell>
        </row>
        <row r="243">
          <cell r="B243">
            <v>1</v>
          </cell>
          <cell r="C243">
            <v>4</v>
          </cell>
          <cell r="D243">
            <v>2</v>
          </cell>
          <cell r="E243">
            <v>32.520000000000003</v>
          </cell>
        </row>
        <row r="244">
          <cell r="E244">
            <v>0.48</v>
          </cell>
        </row>
        <row r="245">
          <cell r="F245">
            <v>124.88</v>
          </cell>
        </row>
        <row r="246">
          <cell r="B246">
            <v>1</v>
          </cell>
          <cell r="C246">
            <v>4</v>
          </cell>
          <cell r="D246">
            <v>4</v>
          </cell>
          <cell r="E246">
            <v>1.33</v>
          </cell>
        </row>
        <row r="247">
          <cell r="E247">
            <v>0.48</v>
          </cell>
        </row>
        <row r="248">
          <cell r="F248">
            <v>10.210000000000001</v>
          </cell>
        </row>
        <row r="249">
          <cell r="B249">
            <v>1</v>
          </cell>
          <cell r="C249">
            <v>4</v>
          </cell>
          <cell r="D249">
            <v>1</v>
          </cell>
          <cell r="E249">
            <v>3.84</v>
          </cell>
        </row>
        <row r="250">
          <cell r="E250">
            <v>0.48</v>
          </cell>
        </row>
        <row r="251">
          <cell r="F251">
            <v>7.37</v>
          </cell>
        </row>
        <row r="252">
          <cell r="B252">
            <v>1</v>
          </cell>
          <cell r="C252">
            <v>4</v>
          </cell>
          <cell r="D252">
            <v>2</v>
          </cell>
          <cell r="E252">
            <v>4.0999999999999996</v>
          </cell>
        </row>
        <row r="253">
          <cell r="E253">
            <v>0.48</v>
          </cell>
        </row>
        <row r="254">
          <cell r="F254">
            <v>15.74</v>
          </cell>
        </row>
        <row r="256">
          <cell r="B256">
            <v>1</v>
          </cell>
          <cell r="C256">
            <v>4</v>
          </cell>
          <cell r="D256">
            <v>8</v>
          </cell>
          <cell r="E256">
            <v>9</v>
          </cell>
        </row>
        <row r="257">
          <cell r="E257">
            <v>0.2</v>
          </cell>
        </row>
        <row r="258">
          <cell r="F258">
            <v>57.6</v>
          </cell>
        </row>
        <row r="259">
          <cell r="B259">
            <v>1</v>
          </cell>
          <cell r="C259">
            <v>4</v>
          </cell>
          <cell r="D259">
            <v>4</v>
          </cell>
          <cell r="E259">
            <v>10.130000000000001</v>
          </cell>
        </row>
        <row r="260">
          <cell r="E260">
            <v>0.2</v>
          </cell>
        </row>
        <row r="261">
          <cell r="F261">
            <v>32.42</v>
          </cell>
        </row>
        <row r="262">
          <cell r="B262">
            <v>1</v>
          </cell>
          <cell r="C262">
            <v>4</v>
          </cell>
          <cell r="D262">
            <v>2</v>
          </cell>
          <cell r="E262">
            <v>4.5</v>
          </cell>
        </row>
        <row r="263">
          <cell r="E263">
            <v>0.2</v>
          </cell>
        </row>
        <row r="264">
          <cell r="F264">
            <v>7.2</v>
          </cell>
        </row>
        <row r="265">
          <cell r="B265">
            <v>1</v>
          </cell>
          <cell r="C265">
            <v>4</v>
          </cell>
          <cell r="D265">
            <v>1</v>
          </cell>
          <cell r="E265">
            <v>9.6999999999999993</v>
          </cell>
        </row>
        <row r="266">
          <cell r="E266">
            <v>0.2</v>
          </cell>
        </row>
        <row r="267">
          <cell r="F267">
            <v>7.76</v>
          </cell>
        </row>
        <row r="268">
          <cell r="B268">
            <v>1</v>
          </cell>
          <cell r="C268">
            <v>4</v>
          </cell>
          <cell r="D268">
            <v>1</v>
          </cell>
          <cell r="E268">
            <v>40.620000000000005</v>
          </cell>
        </row>
        <row r="269">
          <cell r="E269">
            <v>0.2</v>
          </cell>
        </row>
        <row r="270">
          <cell r="F270">
            <v>32.5</v>
          </cell>
        </row>
        <row r="271">
          <cell r="B271">
            <v>1</v>
          </cell>
          <cell r="C271">
            <v>4</v>
          </cell>
          <cell r="D271">
            <v>2</v>
          </cell>
          <cell r="E271">
            <v>3.84</v>
          </cell>
        </row>
        <row r="272">
          <cell r="E272">
            <v>0.2</v>
          </cell>
        </row>
        <row r="273">
          <cell r="F273">
            <v>6.14</v>
          </cell>
        </row>
        <row r="274">
          <cell r="B274">
            <v>1</v>
          </cell>
          <cell r="C274">
            <v>3</v>
          </cell>
          <cell r="D274">
            <v>1</v>
          </cell>
          <cell r="E274">
            <v>1.35</v>
          </cell>
        </row>
        <row r="275">
          <cell r="E275">
            <v>0.33</v>
          </cell>
        </row>
        <row r="276">
          <cell r="F276">
            <v>1.34</v>
          </cell>
        </row>
        <row r="277">
          <cell r="B277">
            <v>1</v>
          </cell>
          <cell r="C277">
            <v>4</v>
          </cell>
          <cell r="D277">
            <v>1</v>
          </cell>
          <cell r="E277">
            <v>1.35</v>
          </cell>
        </row>
        <row r="278">
          <cell r="E278">
            <v>0.35</v>
          </cell>
        </row>
        <row r="279">
          <cell r="F279">
            <v>1.89</v>
          </cell>
        </row>
        <row r="280">
          <cell r="B280">
            <v>1</v>
          </cell>
          <cell r="C280">
            <v>4</v>
          </cell>
          <cell r="D280">
            <v>1</v>
          </cell>
          <cell r="E280">
            <v>1.1399999999999999</v>
          </cell>
        </row>
        <row r="281">
          <cell r="E281">
            <v>0.33</v>
          </cell>
        </row>
        <row r="282">
          <cell r="F282">
            <v>1.5</v>
          </cell>
        </row>
        <row r="283">
          <cell r="B283">
            <v>1</v>
          </cell>
          <cell r="C283">
            <v>4</v>
          </cell>
          <cell r="D283">
            <v>1</v>
          </cell>
          <cell r="E283">
            <v>30.92</v>
          </cell>
        </row>
        <row r="284">
          <cell r="E284">
            <v>0.2</v>
          </cell>
        </row>
        <row r="285">
          <cell r="F285">
            <v>24.74</v>
          </cell>
        </row>
        <row r="286">
          <cell r="B286">
            <v>1</v>
          </cell>
          <cell r="C286">
            <v>4</v>
          </cell>
          <cell r="D286">
            <v>2</v>
          </cell>
          <cell r="E286">
            <v>1.35</v>
          </cell>
        </row>
        <row r="287">
          <cell r="E287">
            <v>0.25</v>
          </cell>
        </row>
        <row r="288">
          <cell r="F288">
            <v>2.7</v>
          </cell>
        </row>
        <row r="289">
          <cell r="B289">
            <v>1</v>
          </cell>
          <cell r="C289">
            <v>3</v>
          </cell>
          <cell r="D289">
            <v>1</v>
          </cell>
          <cell r="E289">
            <v>1.35</v>
          </cell>
        </row>
        <row r="290">
          <cell r="E290">
            <v>0.23300000000000001</v>
          </cell>
        </row>
        <row r="291">
          <cell r="F291">
            <v>0.94</v>
          </cell>
        </row>
        <row r="292">
          <cell r="B292">
            <v>1</v>
          </cell>
          <cell r="C292">
            <v>4</v>
          </cell>
          <cell r="D292">
            <v>2</v>
          </cell>
          <cell r="E292">
            <v>1.1399999999999999</v>
          </cell>
        </row>
        <row r="293">
          <cell r="E293">
            <v>0.25</v>
          </cell>
        </row>
        <row r="294">
          <cell r="F294">
            <v>2.2799999999999998</v>
          </cell>
        </row>
        <row r="296">
          <cell r="B296">
            <v>1</v>
          </cell>
          <cell r="C296">
            <v>4</v>
          </cell>
          <cell r="D296">
            <v>4</v>
          </cell>
          <cell r="E296">
            <v>8.1999999999999993</v>
          </cell>
        </row>
        <row r="297">
          <cell r="E297">
            <v>0.2</v>
          </cell>
        </row>
        <row r="298">
          <cell r="F298">
            <v>26.24</v>
          </cell>
        </row>
        <row r="299">
          <cell r="B299">
            <v>1</v>
          </cell>
          <cell r="C299">
            <v>4</v>
          </cell>
          <cell r="D299">
            <v>4</v>
          </cell>
          <cell r="E299">
            <v>9.5300000000000011</v>
          </cell>
        </row>
        <row r="300">
          <cell r="E300">
            <v>0.2</v>
          </cell>
        </row>
        <row r="301">
          <cell r="F301">
            <v>30.5</v>
          </cell>
        </row>
        <row r="302">
          <cell r="B302">
            <v>1</v>
          </cell>
          <cell r="C302">
            <v>4</v>
          </cell>
          <cell r="D302">
            <v>1</v>
          </cell>
          <cell r="E302">
            <v>9.6999999999999993</v>
          </cell>
        </row>
        <row r="303">
          <cell r="E303">
            <v>0.2</v>
          </cell>
        </row>
        <row r="304">
          <cell r="F304">
            <v>7.76</v>
          </cell>
        </row>
        <row r="305">
          <cell r="B305">
            <v>1</v>
          </cell>
          <cell r="C305">
            <v>4</v>
          </cell>
          <cell r="D305">
            <v>2</v>
          </cell>
          <cell r="E305">
            <v>30.520000000000003</v>
          </cell>
        </row>
        <row r="306">
          <cell r="E306">
            <v>0.2</v>
          </cell>
        </row>
        <row r="307">
          <cell r="F307">
            <v>48.83</v>
          </cell>
        </row>
        <row r="308">
          <cell r="B308">
            <v>1</v>
          </cell>
          <cell r="C308">
            <v>4</v>
          </cell>
          <cell r="D308">
            <v>2</v>
          </cell>
          <cell r="E308">
            <v>3.84</v>
          </cell>
        </row>
        <row r="309">
          <cell r="E309">
            <v>0.2</v>
          </cell>
        </row>
        <row r="310">
          <cell r="F310">
            <v>6.14</v>
          </cell>
        </row>
        <row r="311">
          <cell r="B311">
            <v>1</v>
          </cell>
          <cell r="C311">
            <v>4</v>
          </cell>
          <cell r="D311">
            <v>1</v>
          </cell>
          <cell r="E311">
            <v>3.84</v>
          </cell>
        </row>
        <row r="312">
          <cell r="E312">
            <v>0.2</v>
          </cell>
        </row>
        <row r="313">
          <cell r="F313">
            <v>3.07</v>
          </cell>
        </row>
        <row r="316">
          <cell r="B316">
            <v>1</v>
          </cell>
          <cell r="C316">
            <v>1</v>
          </cell>
          <cell r="D316">
            <v>1</v>
          </cell>
          <cell r="E316">
            <v>89.16</v>
          </cell>
        </row>
        <row r="317">
          <cell r="E317">
            <v>0.3</v>
          </cell>
        </row>
        <row r="318">
          <cell r="F318">
            <v>26.75</v>
          </cell>
        </row>
        <row r="320">
          <cell r="B320">
            <v>1</v>
          </cell>
          <cell r="C320">
            <v>1</v>
          </cell>
          <cell r="D320">
            <v>2</v>
          </cell>
          <cell r="E320">
            <v>27.7</v>
          </cell>
        </row>
        <row r="321">
          <cell r="E321">
            <v>0.3</v>
          </cell>
        </row>
        <row r="322">
          <cell r="F322">
            <v>16.62</v>
          </cell>
        </row>
        <row r="323">
          <cell r="B323">
            <v>1</v>
          </cell>
          <cell r="C323">
            <v>1</v>
          </cell>
          <cell r="D323">
            <v>2</v>
          </cell>
          <cell r="E323">
            <v>58.559999999999995</v>
          </cell>
        </row>
        <row r="324">
          <cell r="E324">
            <v>0.3</v>
          </cell>
        </row>
        <row r="325">
          <cell r="F325">
            <v>35.14</v>
          </cell>
        </row>
        <row r="326">
          <cell r="B326">
            <v>1</v>
          </cell>
          <cell r="C326">
            <v>1</v>
          </cell>
          <cell r="D326">
            <v>2</v>
          </cell>
          <cell r="E326">
            <v>32.96</v>
          </cell>
        </row>
        <row r="327">
          <cell r="E327">
            <v>0.3</v>
          </cell>
        </row>
        <row r="328">
          <cell r="F328">
            <v>19.78</v>
          </cell>
        </row>
        <row r="330">
          <cell r="B330">
            <v>1</v>
          </cell>
          <cell r="C330">
            <v>1</v>
          </cell>
          <cell r="D330">
            <v>4</v>
          </cell>
          <cell r="E330">
            <v>8.1999999999999993</v>
          </cell>
        </row>
        <row r="331">
          <cell r="E331">
            <v>0.2</v>
          </cell>
        </row>
        <row r="332">
          <cell r="F332">
            <v>6.56</v>
          </cell>
        </row>
        <row r="333">
          <cell r="B333">
            <v>1</v>
          </cell>
          <cell r="C333">
            <v>1</v>
          </cell>
          <cell r="D333">
            <v>4</v>
          </cell>
          <cell r="E333">
            <v>9.5300000000000011</v>
          </cell>
        </row>
        <row r="334">
          <cell r="E334">
            <v>0.2</v>
          </cell>
        </row>
        <row r="335">
          <cell r="F335">
            <v>7.62</v>
          </cell>
        </row>
        <row r="336">
          <cell r="B336">
            <v>1</v>
          </cell>
          <cell r="C336">
            <v>1</v>
          </cell>
          <cell r="D336">
            <v>2</v>
          </cell>
          <cell r="E336">
            <v>5</v>
          </cell>
        </row>
        <row r="337">
          <cell r="E337">
            <v>0.2</v>
          </cell>
        </row>
        <row r="338">
          <cell r="F338">
            <v>2</v>
          </cell>
        </row>
        <row r="339">
          <cell r="B339">
            <v>1</v>
          </cell>
          <cell r="C339">
            <v>1</v>
          </cell>
          <cell r="D339">
            <v>1</v>
          </cell>
          <cell r="E339">
            <v>9.6999999999999993</v>
          </cell>
        </row>
        <row r="340">
          <cell r="E340">
            <v>0.2</v>
          </cell>
        </row>
        <row r="341">
          <cell r="F341">
            <v>1.94</v>
          </cell>
        </row>
        <row r="342">
          <cell r="B342">
            <v>1</v>
          </cell>
          <cell r="C342">
            <v>1</v>
          </cell>
          <cell r="D342">
            <v>1</v>
          </cell>
          <cell r="E342">
            <v>20.92</v>
          </cell>
        </row>
        <row r="343">
          <cell r="E343">
            <v>0.2</v>
          </cell>
        </row>
        <row r="344">
          <cell r="F344">
            <v>4.18</v>
          </cell>
        </row>
        <row r="345">
          <cell r="B345">
            <v>1</v>
          </cell>
          <cell r="C345">
            <v>1</v>
          </cell>
          <cell r="D345">
            <v>1</v>
          </cell>
          <cell r="E345">
            <v>3.84</v>
          </cell>
        </row>
        <row r="346">
          <cell r="E346">
            <v>0.2</v>
          </cell>
        </row>
        <row r="348">
          <cell r="B348">
            <v>1</v>
          </cell>
          <cell r="C348">
            <v>1</v>
          </cell>
          <cell r="D348">
            <v>1</v>
          </cell>
          <cell r="E348">
            <v>9.6</v>
          </cell>
        </row>
        <row r="349">
          <cell r="E349">
            <v>0.2</v>
          </cell>
        </row>
        <row r="350">
          <cell r="F350">
            <v>1.92</v>
          </cell>
        </row>
        <row r="351">
          <cell r="B351">
            <v>1</v>
          </cell>
          <cell r="C351">
            <v>1</v>
          </cell>
          <cell r="D351">
            <v>1</v>
          </cell>
          <cell r="E351">
            <v>17.38</v>
          </cell>
        </row>
        <row r="352">
          <cell r="E352">
            <v>0.2</v>
          </cell>
        </row>
        <row r="353">
          <cell r="F353">
            <v>3.48</v>
          </cell>
        </row>
        <row r="354">
          <cell r="B354">
            <v>1</v>
          </cell>
          <cell r="C354">
            <v>1</v>
          </cell>
          <cell r="D354">
            <v>1</v>
          </cell>
          <cell r="E354">
            <v>30.520000000000003</v>
          </cell>
        </row>
        <row r="355">
          <cell r="E355">
            <v>0.2</v>
          </cell>
        </row>
        <row r="356">
          <cell r="F356">
            <v>6.1</v>
          </cell>
        </row>
        <row r="357">
          <cell r="A357" t="str">
            <v>C1.3b</v>
          </cell>
          <cell r="F357">
            <v>627.93999999999983</v>
          </cell>
        </row>
        <row r="360">
          <cell r="B360">
            <v>1</v>
          </cell>
          <cell r="C360">
            <v>1</v>
          </cell>
          <cell r="D360">
            <v>1</v>
          </cell>
          <cell r="E360">
            <v>1.35</v>
          </cell>
        </row>
        <row r="361">
          <cell r="E361">
            <v>2.7</v>
          </cell>
        </row>
        <row r="362">
          <cell r="F362">
            <v>3.65</v>
          </cell>
        </row>
        <row r="363">
          <cell r="B363">
            <v>1</v>
          </cell>
          <cell r="C363">
            <v>1</v>
          </cell>
          <cell r="D363">
            <v>4</v>
          </cell>
          <cell r="E363">
            <v>1.35</v>
          </cell>
        </row>
        <row r="364">
          <cell r="E364">
            <v>3.1</v>
          </cell>
        </row>
        <row r="365">
          <cell r="F365">
            <v>16.739999999999998</v>
          </cell>
        </row>
        <row r="366">
          <cell r="B366">
            <v>1</v>
          </cell>
          <cell r="C366">
            <v>1</v>
          </cell>
          <cell r="D366">
            <v>3</v>
          </cell>
          <cell r="E366">
            <v>1.35</v>
          </cell>
        </row>
        <row r="367">
          <cell r="E367">
            <v>3.0230000000000001</v>
          </cell>
        </row>
        <row r="368">
          <cell r="F368">
            <v>12.24</v>
          </cell>
        </row>
        <row r="369">
          <cell r="B369">
            <v>1</v>
          </cell>
          <cell r="C369">
            <v>1</v>
          </cell>
          <cell r="D369">
            <v>4</v>
          </cell>
          <cell r="E369">
            <v>0.81499999999999995</v>
          </cell>
        </row>
        <row r="370">
          <cell r="E370">
            <v>3.84</v>
          </cell>
        </row>
        <row r="371">
          <cell r="F371">
            <v>12.52</v>
          </cell>
        </row>
        <row r="372">
          <cell r="B372">
            <v>1</v>
          </cell>
          <cell r="C372">
            <v>1</v>
          </cell>
          <cell r="D372">
            <v>4</v>
          </cell>
          <cell r="E372">
            <v>0.34200000000000003</v>
          </cell>
        </row>
        <row r="373">
          <cell r="E373">
            <v>2.4900000000000002</v>
          </cell>
        </row>
        <row r="374">
          <cell r="F374">
            <v>3.41</v>
          </cell>
        </row>
        <row r="375">
          <cell r="B375">
            <v>1</v>
          </cell>
          <cell r="C375">
            <v>1</v>
          </cell>
          <cell r="D375">
            <v>3</v>
          </cell>
          <cell r="E375">
            <v>0.41199999999999998</v>
          </cell>
        </row>
        <row r="376">
          <cell r="E376">
            <v>2.4900000000000002</v>
          </cell>
        </row>
        <row r="377">
          <cell r="F377">
            <v>3.08</v>
          </cell>
        </row>
        <row r="379">
          <cell r="B379">
            <v>1</v>
          </cell>
          <cell r="C379">
            <v>1</v>
          </cell>
          <cell r="D379">
            <v>2</v>
          </cell>
          <cell r="E379">
            <v>2.88</v>
          </cell>
        </row>
        <row r="380">
          <cell r="E380">
            <v>0.15</v>
          </cell>
        </row>
        <row r="381">
          <cell r="F381">
            <v>0.86</v>
          </cell>
        </row>
        <row r="382">
          <cell r="B382">
            <v>1</v>
          </cell>
          <cell r="C382">
            <v>9</v>
          </cell>
          <cell r="D382">
            <v>2</v>
          </cell>
          <cell r="E382">
            <v>0.3</v>
          </cell>
        </row>
        <row r="383">
          <cell r="E383">
            <v>0.16</v>
          </cell>
        </row>
        <row r="384">
          <cell r="E384">
            <v>0.5</v>
          </cell>
        </row>
        <row r="385">
          <cell r="F385">
            <v>0.43</v>
          </cell>
        </row>
        <row r="386">
          <cell r="B386">
            <v>1</v>
          </cell>
          <cell r="C386">
            <v>4</v>
          </cell>
          <cell r="D386">
            <v>2</v>
          </cell>
          <cell r="E386">
            <v>3.1139999999999999</v>
          </cell>
        </row>
        <row r="387">
          <cell r="E387">
            <v>0.15</v>
          </cell>
        </row>
        <row r="388">
          <cell r="F388">
            <v>3.74</v>
          </cell>
        </row>
        <row r="389">
          <cell r="B389">
            <v>4</v>
          </cell>
          <cell r="C389">
            <v>9</v>
          </cell>
          <cell r="D389">
            <v>2</v>
          </cell>
          <cell r="E389">
            <v>0.3</v>
          </cell>
        </row>
        <row r="390">
          <cell r="E390">
            <v>0.16</v>
          </cell>
        </row>
        <row r="391">
          <cell r="E391">
            <v>0.5</v>
          </cell>
        </row>
        <row r="392">
          <cell r="F392">
            <v>1.73</v>
          </cell>
        </row>
        <row r="393">
          <cell r="B393">
            <v>1</v>
          </cell>
          <cell r="C393">
            <v>3</v>
          </cell>
          <cell r="D393">
            <v>2</v>
          </cell>
          <cell r="E393">
            <v>3.044</v>
          </cell>
        </row>
        <row r="394">
          <cell r="E394">
            <v>0.15</v>
          </cell>
        </row>
        <row r="395">
          <cell r="F395">
            <v>2.74</v>
          </cell>
        </row>
        <row r="396">
          <cell r="B396">
            <v>3</v>
          </cell>
          <cell r="C396">
            <v>9</v>
          </cell>
          <cell r="D396">
            <v>2</v>
          </cell>
          <cell r="E396">
            <v>0.3</v>
          </cell>
        </row>
        <row r="397">
          <cell r="E397">
            <v>0.16</v>
          </cell>
        </row>
        <row r="398">
          <cell r="E398">
            <v>0.5</v>
          </cell>
        </row>
        <row r="399">
          <cell r="F399">
            <v>1.3</v>
          </cell>
        </row>
        <row r="400">
          <cell r="B400">
            <v>1</v>
          </cell>
          <cell r="C400">
            <v>2</v>
          </cell>
          <cell r="D400">
            <v>4</v>
          </cell>
          <cell r="E400">
            <v>0.81499999999999995</v>
          </cell>
        </row>
        <row r="401">
          <cell r="E401">
            <v>0.15</v>
          </cell>
        </row>
        <row r="402">
          <cell r="F402">
            <v>0.98</v>
          </cell>
        </row>
        <row r="403">
          <cell r="B403">
            <v>1</v>
          </cell>
          <cell r="C403">
            <v>1</v>
          </cell>
          <cell r="D403">
            <v>4</v>
          </cell>
          <cell r="E403">
            <v>3.84</v>
          </cell>
        </row>
        <row r="404">
          <cell r="E404">
            <v>0.15</v>
          </cell>
        </row>
        <row r="405">
          <cell r="F405">
            <v>2.2999999999999998</v>
          </cell>
        </row>
        <row r="406">
          <cell r="B406">
            <v>1</v>
          </cell>
          <cell r="C406">
            <v>2</v>
          </cell>
          <cell r="D406">
            <v>4</v>
          </cell>
          <cell r="E406">
            <v>0.32</v>
          </cell>
        </row>
        <row r="407">
          <cell r="E407">
            <v>0.15</v>
          </cell>
        </row>
        <row r="408">
          <cell r="F408">
            <v>0.38</v>
          </cell>
        </row>
        <row r="409">
          <cell r="B409">
            <v>1</v>
          </cell>
          <cell r="C409">
            <v>2</v>
          </cell>
          <cell r="D409">
            <v>3</v>
          </cell>
          <cell r="E409">
            <v>0.39400000000000002</v>
          </cell>
        </row>
        <row r="410">
          <cell r="E410">
            <v>0.15</v>
          </cell>
        </row>
        <row r="411">
          <cell r="F411">
            <v>0.35</v>
          </cell>
        </row>
        <row r="412">
          <cell r="B412">
            <v>1</v>
          </cell>
          <cell r="C412">
            <v>2</v>
          </cell>
          <cell r="D412">
            <v>4</v>
          </cell>
          <cell r="E412">
            <v>1.1399999999999999</v>
          </cell>
        </row>
        <row r="413">
          <cell r="E413">
            <v>0.15</v>
          </cell>
        </row>
        <row r="414">
          <cell r="F414">
            <v>1.37</v>
          </cell>
        </row>
        <row r="415">
          <cell r="B415">
            <v>1</v>
          </cell>
          <cell r="C415">
            <v>1</v>
          </cell>
          <cell r="D415">
            <v>72</v>
          </cell>
          <cell r="E415">
            <v>1.35</v>
          </cell>
        </row>
        <row r="416">
          <cell r="E416">
            <v>0.16</v>
          </cell>
        </row>
        <row r="417">
          <cell r="F417">
            <v>15.55</v>
          </cell>
        </row>
        <row r="418">
          <cell r="A418" t="str">
            <v>C1.3c</v>
          </cell>
          <cell r="F418">
            <v>83.369999999999976</v>
          </cell>
        </row>
        <row r="423">
          <cell r="B423">
            <v>1</v>
          </cell>
          <cell r="C423">
            <v>4</v>
          </cell>
          <cell r="D423">
            <v>26</v>
          </cell>
          <cell r="E423">
            <v>0.51</v>
          </cell>
        </row>
        <row r="424">
          <cell r="E424">
            <v>0.2</v>
          </cell>
        </row>
        <row r="425">
          <cell r="F425">
            <v>10.61</v>
          </cell>
        </row>
        <row r="426">
          <cell r="B426">
            <v>1</v>
          </cell>
          <cell r="C426">
            <v>4</v>
          </cell>
          <cell r="D426">
            <v>14</v>
          </cell>
          <cell r="E426">
            <v>0.25</v>
          </cell>
        </row>
        <row r="427">
          <cell r="E427">
            <v>0.2</v>
          </cell>
        </row>
        <row r="428">
          <cell r="F428">
            <v>2.8</v>
          </cell>
        </row>
        <row r="429">
          <cell r="A429" t="str">
            <v>C1.3d</v>
          </cell>
          <cell r="F429">
            <v>13.41</v>
          </cell>
        </row>
        <row r="434">
          <cell r="A434" t="str">
            <v>C1.4a</v>
          </cell>
          <cell r="F434">
            <v>1325.11</v>
          </cell>
        </row>
        <row r="436">
          <cell r="A436" t="str">
            <v>C1.4b</v>
          </cell>
          <cell r="F436">
            <v>3244.83</v>
          </cell>
        </row>
        <row r="438">
          <cell r="A438" t="str">
            <v>C1.4c</v>
          </cell>
          <cell r="F438">
            <v>519.42999999999995</v>
          </cell>
        </row>
        <row r="440">
          <cell r="A440" t="str">
            <v>C1.4d</v>
          </cell>
          <cell r="F440">
            <v>1694.33</v>
          </cell>
        </row>
        <row r="442">
          <cell r="A442" t="str">
            <v>C1.4e</v>
          </cell>
          <cell r="F442">
            <v>6464.09</v>
          </cell>
        </row>
        <row r="444">
          <cell r="A444" t="str">
            <v>C1.4f</v>
          </cell>
          <cell r="F444">
            <v>6320.54</v>
          </cell>
        </row>
        <row r="446">
          <cell r="A446" t="str">
            <v>C1.4g</v>
          </cell>
          <cell r="F446">
            <v>1690.27</v>
          </cell>
        </row>
      </sheetData>
      <sheetData sheetId="2"/>
      <sheetData sheetId="3">
        <row r="46">
          <cell r="M46">
            <v>197069.65000000002</v>
          </cell>
        </row>
      </sheetData>
      <sheetData sheetId="4"/>
      <sheetData sheetId="5"/>
      <sheetData sheetId="6"/>
      <sheetData sheetId="7"/>
      <sheetData sheetId="8">
        <row r="1">
          <cell r="B1" t="str">
            <v>Project: Low Cost Housing Development Project</v>
          </cell>
        </row>
      </sheetData>
      <sheetData sheetId="9"/>
      <sheetData sheetId="10">
        <row r="1">
          <cell r="B1" t="str">
            <v>Project: Low Cost Housing Development Project</v>
          </cell>
        </row>
      </sheetData>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1 Block Work Residence"/>
      <sheetName val="Block Summary"/>
      <sheetName val="Summary"/>
      <sheetName val="Sub Structure BC = 200"/>
      <sheetName val="Ar &amp; St"/>
      <sheetName val="E-1 200kp Res. Sub St."/>
      <sheetName val="E1 Excavation data"/>
      <sheetName val="Eshetu Y. E1trench&amp;masonary "/>
      <sheetName val="RB E-1 200kp Res. Sub St."/>
      <sheetName val="E-1 200kp  Sup St."/>
      <sheetName val="RB E-1 200kp Res. Super St."/>
    </sheetNames>
    <sheetDataSet>
      <sheetData sheetId="0" refreshError="1">
        <row r="1">
          <cell r="B1" t="str">
            <v>Project: Low Cost Housing Development Project</v>
          </cell>
        </row>
        <row r="2">
          <cell r="B2" t="str">
            <v>Location: Jemmo II</v>
          </cell>
        </row>
        <row r="3">
          <cell r="B3" t="str">
            <v>Client: Nifasilk Lafto Sub-City</v>
          </cell>
        </row>
        <row r="4">
          <cell r="B4" t="str">
            <v>Contractor: ESHETU YIRDAW B.C</v>
          </cell>
        </row>
        <row r="5">
          <cell r="B5" t="str">
            <v>Consultant: MGM Consult PLC</v>
          </cell>
        </row>
        <row r="6">
          <cell r="A6" t="str">
            <v>Code</v>
          </cell>
          <cell r="B6" t="str">
            <v>Timizing</v>
          </cell>
          <cell r="E6" t="str">
            <v>Dimension</v>
          </cell>
          <cell r="F6" t="str">
            <v>Qty</v>
          </cell>
        </row>
        <row r="11">
          <cell r="B11">
            <v>1</v>
          </cell>
          <cell r="C11">
            <v>4</v>
          </cell>
          <cell r="D11">
            <v>2</v>
          </cell>
          <cell r="E11">
            <v>8.1999999999999993</v>
          </cell>
        </row>
        <row r="12">
          <cell r="E12">
            <v>2.4</v>
          </cell>
        </row>
        <row r="13">
          <cell r="F13">
            <v>157.44</v>
          </cell>
        </row>
        <row r="14">
          <cell r="B14">
            <v>1</v>
          </cell>
          <cell r="C14">
            <v>4</v>
          </cell>
          <cell r="D14">
            <v>1</v>
          </cell>
          <cell r="E14">
            <v>3.83</v>
          </cell>
        </row>
        <row r="15">
          <cell r="E15">
            <v>2.4</v>
          </cell>
        </row>
        <row r="16">
          <cell r="F16">
            <v>36.770000000000003</v>
          </cell>
        </row>
        <row r="17">
          <cell r="B17">
            <v>1</v>
          </cell>
          <cell r="C17">
            <v>4</v>
          </cell>
          <cell r="D17">
            <v>1</v>
          </cell>
          <cell r="E17">
            <v>4.0999999999999996</v>
          </cell>
        </row>
        <row r="18">
          <cell r="E18">
            <v>2.4</v>
          </cell>
        </row>
        <row r="19">
          <cell r="F19">
            <v>39.36</v>
          </cell>
        </row>
        <row r="20">
          <cell r="B20">
            <v>1</v>
          </cell>
          <cell r="C20">
            <v>4</v>
          </cell>
          <cell r="D20">
            <v>2</v>
          </cell>
          <cell r="E20">
            <v>0.33</v>
          </cell>
        </row>
        <row r="21">
          <cell r="E21">
            <v>2.6</v>
          </cell>
        </row>
        <row r="22">
          <cell r="F22">
            <v>6.86</v>
          </cell>
        </row>
        <row r="23">
          <cell r="B23">
            <v>1</v>
          </cell>
          <cell r="C23">
            <v>4</v>
          </cell>
          <cell r="D23">
            <v>2</v>
          </cell>
          <cell r="E23">
            <v>8.14</v>
          </cell>
        </row>
        <row r="24">
          <cell r="E24">
            <v>2.4</v>
          </cell>
        </row>
        <row r="25">
          <cell r="F25">
            <v>156.29</v>
          </cell>
        </row>
        <row r="26">
          <cell r="B26">
            <v>1</v>
          </cell>
          <cell r="C26">
            <v>4</v>
          </cell>
          <cell r="D26">
            <v>2</v>
          </cell>
          <cell r="E26">
            <v>4.4099999999999993</v>
          </cell>
        </row>
        <row r="27">
          <cell r="E27">
            <v>2.4</v>
          </cell>
        </row>
        <row r="28">
          <cell r="F28">
            <v>84.67</v>
          </cell>
        </row>
        <row r="29">
          <cell r="B29">
            <v>1</v>
          </cell>
          <cell r="C29">
            <v>4</v>
          </cell>
          <cell r="D29">
            <v>1</v>
          </cell>
          <cell r="E29">
            <v>2.75</v>
          </cell>
        </row>
        <row r="30">
          <cell r="E30">
            <v>2.6</v>
          </cell>
        </row>
        <row r="31">
          <cell r="F31">
            <v>28.6</v>
          </cell>
        </row>
        <row r="32">
          <cell r="B32">
            <v>1</v>
          </cell>
          <cell r="C32">
            <v>4</v>
          </cell>
          <cell r="D32">
            <v>1</v>
          </cell>
          <cell r="E32">
            <v>3.5</v>
          </cell>
        </row>
        <row r="33">
          <cell r="E33">
            <v>2.6</v>
          </cell>
        </row>
        <row r="34">
          <cell r="F34">
            <v>36.4</v>
          </cell>
        </row>
        <row r="35">
          <cell r="B35">
            <v>1</v>
          </cell>
          <cell r="C35">
            <v>4</v>
          </cell>
          <cell r="D35">
            <v>1</v>
          </cell>
          <cell r="E35">
            <v>7</v>
          </cell>
        </row>
        <row r="36">
          <cell r="E36">
            <v>2.4</v>
          </cell>
        </row>
        <row r="37">
          <cell r="F37">
            <v>67.2</v>
          </cell>
        </row>
        <row r="38">
          <cell r="B38">
            <v>1</v>
          </cell>
          <cell r="C38">
            <v>4</v>
          </cell>
          <cell r="D38">
            <v>1</v>
          </cell>
          <cell r="E38">
            <v>23.980000000000004</v>
          </cell>
        </row>
        <row r="39">
          <cell r="E39">
            <v>2.4</v>
          </cell>
        </row>
        <row r="40">
          <cell r="F40">
            <v>230.21</v>
          </cell>
        </row>
        <row r="41">
          <cell r="B41">
            <v>1</v>
          </cell>
          <cell r="C41">
            <v>4</v>
          </cell>
          <cell r="D41">
            <v>1</v>
          </cell>
          <cell r="E41">
            <v>3.84</v>
          </cell>
        </row>
        <row r="42">
          <cell r="E42">
            <v>2.4</v>
          </cell>
        </row>
        <row r="43">
          <cell r="F43">
            <v>36.86</v>
          </cell>
        </row>
        <row r="44">
          <cell r="B44">
            <v>1</v>
          </cell>
          <cell r="C44">
            <v>4</v>
          </cell>
          <cell r="D44">
            <v>1</v>
          </cell>
          <cell r="E44">
            <v>1.95</v>
          </cell>
        </row>
        <row r="45">
          <cell r="E45">
            <v>2.6</v>
          </cell>
        </row>
        <row r="46">
          <cell r="F46">
            <v>20.28</v>
          </cell>
        </row>
        <row r="47">
          <cell r="B47">
            <v>1</v>
          </cell>
          <cell r="C47">
            <v>4</v>
          </cell>
          <cell r="D47">
            <v>1</v>
          </cell>
          <cell r="E47">
            <v>4.78</v>
          </cell>
        </row>
        <row r="48">
          <cell r="E48">
            <v>2.6</v>
          </cell>
        </row>
        <row r="49">
          <cell r="F49">
            <v>49.71</v>
          </cell>
        </row>
        <row r="50">
          <cell r="B50">
            <v>1</v>
          </cell>
          <cell r="C50">
            <v>4</v>
          </cell>
          <cell r="D50">
            <v>1</v>
          </cell>
          <cell r="E50">
            <v>14.18</v>
          </cell>
        </row>
        <row r="51">
          <cell r="E51">
            <v>2.6</v>
          </cell>
        </row>
        <row r="52">
          <cell r="F52">
            <v>147.47</v>
          </cell>
        </row>
        <row r="53">
          <cell r="B53">
            <v>1</v>
          </cell>
          <cell r="C53">
            <v>4</v>
          </cell>
          <cell r="D53">
            <v>1</v>
          </cell>
          <cell r="E53">
            <v>9.56</v>
          </cell>
        </row>
        <row r="54">
          <cell r="E54">
            <v>2.4</v>
          </cell>
        </row>
        <row r="55">
          <cell r="F55">
            <v>91.78</v>
          </cell>
        </row>
        <row r="56">
          <cell r="B56">
            <v>1</v>
          </cell>
          <cell r="C56">
            <v>4</v>
          </cell>
          <cell r="D56">
            <v>1</v>
          </cell>
          <cell r="E56">
            <v>26.33</v>
          </cell>
        </row>
        <row r="57">
          <cell r="E57">
            <v>0.9</v>
          </cell>
        </row>
        <row r="58">
          <cell r="F58">
            <v>94.79</v>
          </cell>
        </row>
        <row r="60">
          <cell r="B60">
            <v>-1</v>
          </cell>
          <cell r="C60">
            <v>4</v>
          </cell>
          <cell r="D60">
            <v>6</v>
          </cell>
          <cell r="E60">
            <v>0.6</v>
          </cell>
        </row>
        <row r="61">
          <cell r="E61">
            <v>0.6</v>
          </cell>
        </row>
        <row r="62">
          <cell r="F62">
            <v>-8.64</v>
          </cell>
        </row>
        <row r="63">
          <cell r="B63">
            <v>-1</v>
          </cell>
          <cell r="C63">
            <v>4</v>
          </cell>
          <cell r="D63">
            <v>5</v>
          </cell>
          <cell r="E63">
            <v>1</v>
          </cell>
        </row>
        <row r="64">
          <cell r="E64">
            <v>1.5</v>
          </cell>
        </row>
        <row r="65">
          <cell r="F65">
            <v>-30</v>
          </cell>
        </row>
        <row r="66">
          <cell r="B66">
            <v>-1</v>
          </cell>
          <cell r="C66">
            <v>4</v>
          </cell>
          <cell r="D66">
            <v>9</v>
          </cell>
          <cell r="E66">
            <v>1.2</v>
          </cell>
        </row>
        <row r="67">
          <cell r="E67">
            <v>1.5</v>
          </cell>
        </row>
        <row r="68">
          <cell r="F68">
            <v>-64.8</v>
          </cell>
        </row>
        <row r="69">
          <cell r="B69">
            <v>-1</v>
          </cell>
          <cell r="C69">
            <v>4</v>
          </cell>
          <cell r="D69">
            <v>6</v>
          </cell>
          <cell r="E69">
            <v>1.5</v>
          </cell>
        </row>
        <row r="70">
          <cell r="E70">
            <v>1.5</v>
          </cell>
        </row>
        <row r="71">
          <cell r="F71">
            <v>-54</v>
          </cell>
        </row>
        <row r="73">
          <cell r="B73">
            <v>1</v>
          </cell>
          <cell r="C73">
            <v>1</v>
          </cell>
          <cell r="D73">
            <v>2</v>
          </cell>
          <cell r="E73">
            <v>8.1999999999999993</v>
          </cell>
        </row>
        <row r="74">
          <cell r="E74">
            <v>2.58</v>
          </cell>
        </row>
        <row r="75">
          <cell r="F75">
            <v>42.31</v>
          </cell>
        </row>
        <row r="76">
          <cell r="B76">
            <v>1</v>
          </cell>
          <cell r="C76">
            <v>1</v>
          </cell>
          <cell r="D76">
            <v>1</v>
          </cell>
          <cell r="E76">
            <v>3.83</v>
          </cell>
        </row>
        <row r="77">
          <cell r="E77">
            <v>2.58</v>
          </cell>
        </row>
        <row r="78">
          <cell r="F78">
            <v>9.8800000000000008</v>
          </cell>
        </row>
        <row r="79">
          <cell r="B79">
            <v>1</v>
          </cell>
          <cell r="C79">
            <v>1</v>
          </cell>
          <cell r="D79">
            <v>1</v>
          </cell>
          <cell r="E79">
            <v>4.0999999999999996</v>
          </cell>
        </row>
        <row r="80">
          <cell r="E80">
            <v>2.58</v>
          </cell>
        </row>
        <row r="81">
          <cell r="F81">
            <v>10.58</v>
          </cell>
        </row>
        <row r="82">
          <cell r="B82">
            <v>1</v>
          </cell>
          <cell r="C82">
            <v>1</v>
          </cell>
          <cell r="D82">
            <v>2</v>
          </cell>
          <cell r="E82">
            <v>0.53</v>
          </cell>
        </row>
        <row r="83">
          <cell r="E83">
            <v>2.58</v>
          </cell>
        </row>
        <row r="84">
          <cell r="F84">
            <v>2.73</v>
          </cell>
        </row>
        <row r="85">
          <cell r="B85">
            <v>1</v>
          </cell>
          <cell r="C85">
            <v>1</v>
          </cell>
          <cell r="D85">
            <v>2</v>
          </cell>
          <cell r="E85">
            <v>8.14</v>
          </cell>
        </row>
        <row r="86">
          <cell r="E86">
            <v>2.58</v>
          </cell>
        </row>
        <row r="87">
          <cell r="F87">
            <v>42</v>
          </cell>
        </row>
        <row r="88">
          <cell r="B88">
            <v>1</v>
          </cell>
          <cell r="C88">
            <v>1</v>
          </cell>
          <cell r="D88">
            <v>2</v>
          </cell>
          <cell r="E88">
            <v>4.4099999999999993</v>
          </cell>
        </row>
        <row r="89">
          <cell r="E89">
            <v>2.58</v>
          </cell>
        </row>
        <row r="90">
          <cell r="F90">
            <v>22.76</v>
          </cell>
        </row>
        <row r="91">
          <cell r="B91">
            <v>1</v>
          </cell>
          <cell r="C91">
            <v>1</v>
          </cell>
          <cell r="D91">
            <v>1</v>
          </cell>
          <cell r="E91">
            <v>2.75</v>
          </cell>
        </row>
        <row r="92">
          <cell r="E92">
            <v>2.88</v>
          </cell>
        </row>
        <row r="93">
          <cell r="F93">
            <v>7.92</v>
          </cell>
        </row>
        <row r="94">
          <cell r="B94">
            <v>1</v>
          </cell>
          <cell r="C94">
            <v>1</v>
          </cell>
          <cell r="D94">
            <v>1</v>
          </cell>
          <cell r="E94">
            <v>3.5</v>
          </cell>
        </row>
        <row r="95">
          <cell r="E95">
            <v>2.88</v>
          </cell>
        </row>
        <row r="96">
          <cell r="F96">
            <v>10.08</v>
          </cell>
        </row>
        <row r="97">
          <cell r="B97">
            <v>1</v>
          </cell>
          <cell r="C97">
            <v>1</v>
          </cell>
          <cell r="D97">
            <v>1</v>
          </cell>
          <cell r="E97">
            <v>6.6</v>
          </cell>
        </row>
        <row r="98">
          <cell r="E98">
            <v>2.58</v>
          </cell>
        </row>
        <row r="99">
          <cell r="F99">
            <v>17.03</v>
          </cell>
        </row>
        <row r="100">
          <cell r="B100">
            <v>1</v>
          </cell>
          <cell r="C100">
            <v>1</v>
          </cell>
          <cell r="D100">
            <v>1</v>
          </cell>
          <cell r="E100">
            <v>20.93</v>
          </cell>
        </row>
        <row r="101">
          <cell r="E101">
            <v>2.58</v>
          </cell>
        </row>
        <row r="102">
          <cell r="F102">
            <v>54</v>
          </cell>
        </row>
        <row r="103">
          <cell r="B103">
            <v>1</v>
          </cell>
          <cell r="C103">
            <v>1</v>
          </cell>
          <cell r="D103">
            <v>1</v>
          </cell>
          <cell r="E103">
            <v>3.06</v>
          </cell>
        </row>
        <row r="104">
          <cell r="E104">
            <v>2.88</v>
          </cell>
        </row>
        <row r="105">
          <cell r="F105">
            <v>8.81</v>
          </cell>
        </row>
        <row r="106">
          <cell r="B106">
            <v>1</v>
          </cell>
          <cell r="C106">
            <v>1</v>
          </cell>
          <cell r="D106">
            <v>1</v>
          </cell>
          <cell r="E106">
            <v>3.84</v>
          </cell>
        </row>
        <row r="107">
          <cell r="E107">
            <v>2.58</v>
          </cell>
        </row>
        <row r="108">
          <cell r="F108">
            <v>9.91</v>
          </cell>
        </row>
        <row r="109">
          <cell r="B109">
            <v>1</v>
          </cell>
          <cell r="C109">
            <v>1</v>
          </cell>
          <cell r="D109">
            <v>1</v>
          </cell>
          <cell r="E109">
            <v>1.95</v>
          </cell>
        </row>
        <row r="110">
          <cell r="E110">
            <v>2.88</v>
          </cell>
        </row>
        <row r="111">
          <cell r="F111">
            <v>5.62</v>
          </cell>
        </row>
        <row r="112">
          <cell r="B112">
            <v>1</v>
          </cell>
          <cell r="C112">
            <v>1</v>
          </cell>
          <cell r="D112">
            <v>1</v>
          </cell>
          <cell r="E112">
            <v>4.78</v>
          </cell>
        </row>
        <row r="113">
          <cell r="E113">
            <v>2.58</v>
          </cell>
        </row>
        <row r="114">
          <cell r="F114">
            <v>12.33</v>
          </cell>
        </row>
        <row r="115">
          <cell r="B115">
            <v>1</v>
          </cell>
          <cell r="C115">
            <v>1</v>
          </cell>
          <cell r="D115">
            <v>1</v>
          </cell>
          <cell r="E115">
            <v>14.18</v>
          </cell>
        </row>
        <row r="116">
          <cell r="E116">
            <v>2.58</v>
          </cell>
        </row>
        <row r="117">
          <cell r="F117">
            <v>36.58</v>
          </cell>
        </row>
        <row r="118">
          <cell r="B118">
            <v>1</v>
          </cell>
          <cell r="C118">
            <v>1</v>
          </cell>
          <cell r="D118">
            <v>1</v>
          </cell>
          <cell r="E118">
            <v>9.56</v>
          </cell>
        </row>
        <row r="119">
          <cell r="E119">
            <v>2.58</v>
          </cell>
        </row>
        <row r="120">
          <cell r="F120">
            <v>24.66</v>
          </cell>
        </row>
        <row r="121">
          <cell r="B121">
            <v>1</v>
          </cell>
          <cell r="C121">
            <v>1</v>
          </cell>
          <cell r="D121">
            <v>1</v>
          </cell>
          <cell r="E121">
            <v>26.33</v>
          </cell>
        </row>
        <row r="122">
          <cell r="E122">
            <v>0.9</v>
          </cell>
        </row>
        <row r="123">
          <cell r="F123">
            <v>23.7</v>
          </cell>
        </row>
        <row r="125">
          <cell r="B125">
            <v>-1</v>
          </cell>
          <cell r="C125">
            <v>1</v>
          </cell>
          <cell r="D125">
            <v>6</v>
          </cell>
          <cell r="E125">
            <v>0.6</v>
          </cell>
        </row>
        <row r="126">
          <cell r="E126">
            <v>0.6</v>
          </cell>
        </row>
        <row r="127">
          <cell r="F127">
            <v>-2.16</v>
          </cell>
        </row>
        <row r="128">
          <cell r="B128">
            <v>-1</v>
          </cell>
          <cell r="C128">
            <v>1</v>
          </cell>
          <cell r="D128">
            <v>5</v>
          </cell>
          <cell r="E128">
            <v>1</v>
          </cell>
        </row>
        <row r="129">
          <cell r="E129">
            <v>1.5</v>
          </cell>
        </row>
        <row r="130">
          <cell r="F130">
            <v>-7.5</v>
          </cell>
        </row>
        <row r="131">
          <cell r="B131">
            <v>-1</v>
          </cell>
          <cell r="C131">
            <v>1</v>
          </cell>
          <cell r="D131">
            <v>9</v>
          </cell>
          <cell r="E131">
            <v>1.2</v>
          </cell>
        </row>
        <row r="132">
          <cell r="E132">
            <v>1.5</v>
          </cell>
        </row>
        <row r="133">
          <cell r="F133">
            <v>-16.2</v>
          </cell>
        </row>
        <row r="134">
          <cell r="B134">
            <v>-1</v>
          </cell>
          <cell r="C134">
            <v>1</v>
          </cell>
          <cell r="D134">
            <v>6</v>
          </cell>
          <cell r="E134">
            <v>1.5</v>
          </cell>
        </row>
        <row r="135">
          <cell r="E135">
            <v>1.5</v>
          </cell>
        </row>
        <row r="136">
          <cell r="F136">
            <v>-13.5</v>
          </cell>
        </row>
        <row r="137">
          <cell r="A137" t="str">
            <v>B2.1</v>
          </cell>
          <cell r="F137">
            <v>1428.7899999999997</v>
          </cell>
        </row>
        <row r="141">
          <cell r="B141">
            <v>1</v>
          </cell>
          <cell r="C141">
            <v>4</v>
          </cell>
          <cell r="D141">
            <v>1</v>
          </cell>
          <cell r="E141">
            <v>2.25</v>
          </cell>
        </row>
        <row r="142">
          <cell r="E142">
            <v>2.6</v>
          </cell>
        </row>
        <row r="143">
          <cell r="F143">
            <v>23.4</v>
          </cell>
        </row>
        <row r="144">
          <cell r="B144">
            <v>1</v>
          </cell>
          <cell r="C144">
            <v>4</v>
          </cell>
          <cell r="D144">
            <v>2</v>
          </cell>
          <cell r="E144">
            <v>3.0700000000000003</v>
          </cell>
        </row>
        <row r="145">
          <cell r="E145">
            <v>2.6</v>
          </cell>
        </row>
        <row r="146">
          <cell r="F146">
            <v>63.86</v>
          </cell>
        </row>
        <row r="147">
          <cell r="B147">
            <v>1</v>
          </cell>
          <cell r="C147">
            <v>4</v>
          </cell>
          <cell r="D147">
            <v>2</v>
          </cell>
          <cell r="E147">
            <v>1.55</v>
          </cell>
        </row>
        <row r="148">
          <cell r="E148">
            <v>2.4</v>
          </cell>
        </row>
        <row r="149">
          <cell r="F149">
            <v>29.76</v>
          </cell>
        </row>
        <row r="150">
          <cell r="B150">
            <v>1</v>
          </cell>
          <cell r="C150">
            <v>4</v>
          </cell>
          <cell r="D150">
            <v>1</v>
          </cell>
          <cell r="E150">
            <v>4.1100000000000003</v>
          </cell>
        </row>
        <row r="151">
          <cell r="E151">
            <v>2.6</v>
          </cell>
        </row>
        <row r="152">
          <cell r="F152">
            <v>42.74</v>
          </cell>
        </row>
        <row r="153">
          <cell r="B153">
            <v>1</v>
          </cell>
          <cell r="C153">
            <v>4</v>
          </cell>
          <cell r="D153">
            <v>1</v>
          </cell>
          <cell r="E153">
            <v>2.9000000000000004</v>
          </cell>
        </row>
        <row r="154">
          <cell r="E154">
            <v>2.6</v>
          </cell>
        </row>
        <row r="155">
          <cell r="F155">
            <v>30.16</v>
          </cell>
        </row>
        <row r="156">
          <cell r="B156">
            <v>1</v>
          </cell>
          <cell r="C156">
            <v>4</v>
          </cell>
          <cell r="D156">
            <v>1</v>
          </cell>
          <cell r="E156">
            <v>2.25</v>
          </cell>
        </row>
        <row r="157">
          <cell r="E157">
            <v>2.4</v>
          </cell>
        </row>
        <row r="158">
          <cell r="F158">
            <v>21.6</v>
          </cell>
        </row>
        <row r="159">
          <cell r="B159">
            <v>1</v>
          </cell>
          <cell r="C159">
            <v>4</v>
          </cell>
          <cell r="D159">
            <v>1</v>
          </cell>
          <cell r="E159">
            <v>2.99</v>
          </cell>
        </row>
        <row r="160">
          <cell r="E160">
            <v>2.6</v>
          </cell>
        </row>
        <row r="161">
          <cell r="F161">
            <v>31.1</v>
          </cell>
        </row>
        <row r="163">
          <cell r="B163">
            <v>1</v>
          </cell>
          <cell r="C163">
            <v>1</v>
          </cell>
          <cell r="D163">
            <v>1</v>
          </cell>
          <cell r="E163">
            <v>2.25</v>
          </cell>
        </row>
        <row r="164">
          <cell r="E164">
            <v>2.88</v>
          </cell>
        </row>
        <row r="165">
          <cell r="F165">
            <v>6.48</v>
          </cell>
        </row>
        <row r="166">
          <cell r="B166">
            <v>1</v>
          </cell>
          <cell r="C166">
            <v>1</v>
          </cell>
          <cell r="D166">
            <v>2</v>
          </cell>
          <cell r="E166">
            <v>5.5</v>
          </cell>
        </row>
        <row r="167">
          <cell r="E167">
            <v>2.88</v>
          </cell>
        </row>
        <row r="168">
          <cell r="F168">
            <v>31.68</v>
          </cell>
        </row>
        <row r="169">
          <cell r="B169">
            <v>1</v>
          </cell>
          <cell r="C169">
            <v>1</v>
          </cell>
          <cell r="D169">
            <v>2</v>
          </cell>
          <cell r="E169">
            <v>1.55</v>
          </cell>
        </row>
        <row r="170">
          <cell r="E170">
            <v>2.58</v>
          </cell>
        </row>
        <row r="171">
          <cell r="F171">
            <v>8</v>
          </cell>
        </row>
        <row r="172">
          <cell r="B172">
            <v>1</v>
          </cell>
          <cell r="C172">
            <v>1</v>
          </cell>
          <cell r="D172">
            <v>1</v>
          </cell>
          <cell r="E172">
            <v>8.1100000000000012</v>
          </cell>
        </row>
        <row r="173">
          <cell r="E173">
            <v>2.88</v>
          </cell>
        </row>
        <row r="174">
          <cell r="F174">
            <v>23.36</v>
          </cell>
        </row>
        <row r="175">
          <cell r="B175">
            <v>1</v>
          </cell>
          <cell r="C175">
            <v>1</v>
          </cell>
          <cell r="D175">
            <v>1</v>
          </cell>
          <cell r="E175">
            <v>9.65</v>
          </cell>
        </row>
        <row r="176">
          <cell r="E176">
            <v>2.88</v>
          </cell>
        </row>
        <row r="177">
          <cell r="F177">
            <v>27.79</v>
          </cell>
        </row>
        <row r="178">
          <cell r="B178">
            <v>1</v>
          </cell>
          <cell r="C178">
            <v>1</v>
          </cell>
          <cell r="D178">
            <v>1</v>
          </cell>
          <cell r="E178">
            <v>2.25</v>
          </cell>
        </row>
        <row r="179">
          <cell r="E179">
            <v>2.58</v>
          </cell>
        </row>
        <row r="180">
          <cell r="F180">
            <v>5.81</v>
          </cell>
        </row>
        <row r="181">
          <cell r="B181">
            <v>1</v>
          </cell>
          <cell r="C181">
            <v>1</v>
          </cell>
          <cell r="D181">
            <v>1</v>
          </cell>
          <cell r="E181">
            <v>16.849999999999998</v>
          </cell>
        </row>
        <row r="182">
          <cell r="E182">
            <v>2.88</v>
          </cell>
        </row>
        <row r="183">
          <cell r="F183">
            <v>48.53</v>
          </cell>
        </row>
        <row r="184">
          <cell r="A184" t="str">
            <v>B2.3</v>
          </cell>
          <cell r="F184">
            <v>394.27</v>
          </cell>
        </row>
      </sheetData>
      <sheetData sheetId="1"/>
      <sheetData sheetId="2"/>
      <sheetData sheetId="3"/>
      <sheetData sheetId="4"/>
      <sheetData sheetId="5"/>
      <sheetData sheetId="6"/>
      <sheetData sheetId="7"/>
      <sheetData sheetId="8"/>
      <sheetData sheetId="9"/>
      <sheetData sheetId="10">
        <row r="1">
          <cell r="B1" t="str">
            <v>Project: Low Cost Housing Development Project</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308"/>
      <sheetName val="308m2"/>
      <sheetName val="price"/>
      <sheetName val="PROJECT TRACKING"/>
      <sheetName val="wa"/>
      <sheetName val="Break Down  "/>
      <sheetName val="Aca. Off - I"/>
      <sheetName val="Date"/>
      <sheetName val="Sheet2"/>
      <sheetName val="Break_Down__7"/>
      <sheetName val="Aca__Off_-_I7"/>
      <sheetName val="PROJECT_TRACKING7"/>
      <sheetName val="Break_Down__5"/>
      <sheetName val="Aca__Off_-_I5"/>
      <sheetName val="PROJECT_TRACKING5"/>
      <sheetName val="Break_Down__1"/>
      <sheetName val="Aca__Off_-_I1"/>
      <sheetName val="PROJECT_TRACKING1"/>
      <sheetName val="Break_Down__"/>
      <sheetName val="Aca__Off_-_I"/>
      <sheetName val="PROJECT_TRACKING"/>
      <sheetName val="Break_Down__2"/>
      <sheetName val="Aca__Off_-_I2"/>
      <sheetName val="PROJECT_TRACKING2"/>
      <sheetName val="Break_Down__3"/>
      <sheetName val="Aca__Off_-_I3"/>
      <sheetName val="PROJECT_TRACKING3"/>
      <sheetName val="Break_Down__4"/>
      <sheetName val="Aca__Off_-_I4"/>
      <sheetName val="PROJECT_TRACKING4"/>
      <sheetName val="Break_Down__6"/>
      <sheetName val="Aca__Off_-_I6"/>
      <sheetName val="PROJECT_TRACKING6"/>
      <sheetName val="Break_Down__8"/>
      <sheetName val="Aca__Off_-_I8"/>
      <sheetName val="PROJECT_TRACKING8"/>
      <sheetName val="OPD"/>
      <sheetName val="Waiting"/>
      <sheetName val="IPD"/>
      <sheetName val="OR"/>
      <sheetName val="Emergency"/>
      <sheetName val="Diagnostic"/>
      <sheetName val="Administration"/>
      <sheetName val="Staff"/>
      <sheetName val="Service quarter"/>
      <sheetName val="Generator"/>
      <sheetName val="Transformer"/>
      <sheetName val="Kitchen"/>
      <sheetName val="Store"/>
      <sheetName val="Morgue"/>
      <sheetName val="Guard house"/>
      <sheetName val="Dry latrine"/>
      <sheetName val="Civil"/>
      <sheetName val="site san"/>
      <sheetName val="electrical site work"/>
      <sheetName val="Variation work"/>
      <sheetName val="OPD take off"/>
      <sheetName val="Waiting Takeoff"/>
      <sheetName val="IPD Takeoff"/>
      <sheetName val="OR takeoff"/>
      <sheetName val="Income Stmnt"/>
      <sheetName val="Labor Budget"/>
      <sheetName val="08 Ar &amp; St"/>
      <sheetName val="08 Summary"/>
      <sheetName val="08 A-2 200kp Resi Sup St."/>
      <sheetName val="Summary"/>
      <sheetName val="Dining Room "/>
      <sheetName val="Week 4"/>
      <sheetName val="Cash flow schedule Phase 1&amp;2"/>
      <sheetName val="page -1 project information"/>
      <sheetName val="summary of activitie old"/>
      <sheetName val="dia.8mm"/>
      <sheetName val="page - 12 MWF oct. qty"/>
      <sheetName val="coded &amp; priced (4)"/>
      <sheetName val="dia.14mm"/>
      <sheetName val="CR-1 Roof Water Pro."/>
      <sheetName val="Task_Table1"/>
      <sheetName val="dia 16mm"/>
      <sheetName val="dia.10mm"/>
      <sheetName val="dia.12mm"/>
      <sheetName val="dia 20mm"/>
      <sheetName val="dia 24mm"/>
      <sheetName val="BOQ block 3"/>
      <sheetName val="FEB"/>
      <sheetName val="Lab. BOQ."/>
      <sheetName val="05 Ar &amp; St"/>
      <sheetName val="A-2 blcok work Res."/>
      <sheetName val="Sheet1"/>
      <sheetName val="05 RB A-2 200kp Res. Sub St."/>
      <sheetName val="05 A-2 300kp Sup St."/>
      <sheetName val="MEWD "/>
      <sheetName val="SUB BOQ"/>
      <sheetName val="Sum"/>
      <sheetName val="Mob.II"/>
      <sheetName val="Camp"/>
      <sheetName val="Ls Item"/>
      <sheetName val="Ar &amp; St"/>
      <sheetName val="Sub Structure BC = 200"/>
      <sheetName val="Service_quarter"/>
      <sheetName val="Guard_house"/>
      <sheetName val="Dry_latrine"/>
      <sheetName val="site_san"/>
      <sheetName val="electrical_site_work"/>
      <sheetName val="Variation_work"/>
      <sheetName val="OPD_take_off"/>
      <sheetName val="Waiting_Takeoff"/>
      <sheetName val="IPD_Takeoff"/>
      <sheetName val="OR_takeoff"/>
      <sheetName val="Income_Stmnt"/>
      <sheetName val="Bills of Quantities"/>
      <sheetName val="05 A-2 300kp Res. Sup St."/>
      <sheetName val="#REF"/>
      <sheetName val="PROJECT_TRACKING9"/>
      <sheetName val="Break_Down__9"/>
      <sheetName val="Aca__Off_-_I9"/>
      <sheetName val="08_Ar_&amp;_St"/>
      <sheetName val="08_Summary"/>
      <sheetName val="08_A-2_200kp_Resi_Sup_St_"/>
      <sheetName val="Dining_Room_"/>
      <sheetName val="Labor_Budget"/>
      <sheetName val="Mob_II"/>
      <sheetName val="Ls_Item"/>
      <sheetName val="Service_quarter1"/>
      <sheetName val="Guard_house1"/>
      <sheetName val="Dry_latrine1"/>
      <sheetName val="site_san1"/>
      <sheetName val="electrical_site_work1"/>
      <sheetName val="Variation_work1"/>
      <sheetName val="OPD_take_off1"/>
      <sheetName val="Waiting_Takeoff1"/>
      <sheetName val="IPD_Takeoff1"/>
      <sheetName val="OR_takeoff1"/>
      <sheetName val="Income_Stmnt1"/>
      <sheetName val="PROJECT_TRACKING10"/>
      <sheetName val="Break_Down__10"/>
      <sheetName val="Aca__Off_-_I10"/>
      <sheetName val="08_Ar_&amp;_St1"/>
      <sheetName val="08_Summary1"/>
      <sheetName val="08_A-2_200kp_Resi_Sup_St_1"/>
      <sheetName val="Dining_Room_1"/>
      <sheetName val="Labor_Budget1"/>
      <sheetName val="Mob_II1"/>
      <sheetName val="Ls_Item1"/>
      <sheetName val=" L -1  sub R-bar "/>
      <sheetName val="L-1 200kpa Res.Sub"/>
      <sheetName val="Exc."/>
      <sheetName val="품의"/>
      <sheetName val="대비"/>
      <sheetName val="Cash_flow_schedule_Phase_1&amp;2"/>
      <sheetName val="perforated sheet cost -Customs"/>
      <sheetName val="Cash_flow_schedule_Phase_1&amp;21"/>
      <sheetName val="장비"/>
      <sheetName val="노무"/>
      <sheetName val="자재"/>
      <sheetName val="산근1"/>
      <sheetName val="지계"/>
      <sheetName val=" analysis"/>
      <sheetName val="Service_quarter2"/>
      <sheetName val="Guard_house2"/>
      <sheetName val="Dry_latrine2"/>
      <sheetName val="site_san2"/>
      <sheetName val="electrical_site_work2"/>
      <sheetName val="Variation_work2"/>
      <sheetName val="OPD_take_off2"/>
      <sheetName val="Waiting_Takeoff2"/>
      <sheetName val="IPD_Takeoff2"/>
      <sheetName val="OR_takeoff2"/>
      <sheetName val="Income_Stmnt2"/>
      <sheetName val="PROJECT_TRACKING11"/>
      <sheetName val="Break_Down__11"/>
      <sheetName val="Aca__Off_-_I11"/>
      <sheetName val="08_Ar_&amp;_St2"/>
      <sheetName val="08_Summary2"/>
      <sheetName val="08_A-2_200kp_Resi_Sup_St_2"/>
      <sheetName val="Dining_Room_2"/>
      <sheetName val="Labor_Budget2"/>
      <sheetName val="Mob_II2"/>
      <sheetName val="Ls_Item2"/>
      <sheetName val="05 RB A-2 300kp Shop Sub St."/>
      <sheetName val="ST con. Sup. M.B."/>
      <sheetName val="SUP bar"/>
      <sheetName val=" L -1  sub R-bar for 200Kpa "/>
      <sheetName val=" Ar &amp; St"/>
      <sheetName val="PA(B-4)F"/>
      <sheetName val="PA(B-5)F"/>
      <sheetName val="PA(B-4)L"/>
      <sheetName val="Sub Structure BC = 300"/>
      <sheetName val="Roofing"/>
      <sheetName val="E-1 300kp Res. Sup St."/>
      <sheetName val="E-1 Block Work Residence"/>
      <sheetName val="Cash_flow_schedule_Phase_1&amp;22"/>
      <sheetName val="Week_42"/>
      <sheetName val="Week_4"/>
      <sheetName val="Week_41"/>
      <sheetName val="OPD takh_x0000_t_x0000_t"/>
      <sheetName val="05 A-2 300kp Shop Sup St."/>
      <sheetName val="OPD takh"/>
      <sheetName val="BOQ_block_3"/>
      <sheetName val="MEWD_"/>
      <sheetName val="SUB_BOQ"/>
      <sheetName val="05_Ar_&amp;_St"/>
      <sheetName val="A-2_blcok_work_Res_"/>
      <sheetName val="05_RB_A-2_200kp_Res__Sub_St_"/>
      <sheetName val="05_A-2_300kp_Sup_St_"/>
      <sheetName val="BOQ_block_31"/>
      <sheetName val="MEWD_1"/>
      <sheetName val="SUB_BOQ1"/>
      <sheetName val="05_Ar_&amp;_St1"/>
      <sheetName val="A-2_blcok_work_Res_1"/>
      <sheetName val="05_RB_A-2_200kp_Res__Sub_St_1"/>
      <sheetName val="05_A-2_300kp_Sup_St_1"/>
      <sheetName val="BOQ_block_32"/>
      <sheetName val="MEWD_2"/>
      <sheetName val="SUB_BOQ2"/>
      <sheetName val="05_Ar_&amp;_St2"/>
      <sheetName val="A-2_blcok_work_Res_2"/>
      <sheetName val="05_RB_A-2_200kp_Res__Sub_St_2"/>
      <sheetName val="05_A-2_300kp_Sup_St_2"/>
      <sheetName val="Service_quarter3"/>
      <sheetName val="Guard_house3"/>
      <sheetName val="Dry_latrine3"/>
      <sheetName val="site_san3"/>
      <sheetName val="electrical_site_work3"/>
      <sheetName val="Variation_work3"/>
      <sheetName val="OPD_take_off3"/>
      <sheetName val="Waiting_Takeoff3"/>
      <sheetName val="IPD_Takeoff3"/>
      <sheetName val="OR_takeoff3"/>
      <sheetName val="Labor_Budget3"/>
      <sheetName val="Break_Down__12"/>
      <sheetName val="Aca__Off_-_I12"/>
      <sheetName val="PROJECT_TRACKING12"/>
      <sheetName val="Income_Stmnt3"/>
      <sheetName val="Dining_Room_3"/>
      <sheetName val="08_Ar_&amp;_St3"/>
      <sheetName val="08_Summary3"/>
      <sheetName val="08_A-2_200kp_Resi_Sup_St_3"/>
      <sheetName val="Cash_flow_schedule_Phase_1&amp;23"/>
      <sheetName val="BOQ_block_33"/>
      <sheetName val="MEWD_3"/>
      <sheetName val="SUB_BOQ3"/>
      <sheetName val="Week_43"/>
      <sheetName val="05_Ar_&amp;_St3"/>
      <sheetName val="A-2_blcok_work_Res_3"/>
      <sheetName val="05_RB_A-2_200kp_Res__Sub_St_3"/>
      <sheetName val="05_A-2_300kp_Sup_St_3"/>
      <sheetName val="Lab__BOQ_"/>
      <sheetName val="Summary-2"/>
      <sheetName val="Final Direct Cost"/>
      <sheetName val="Summary Chash Flow"/>
      <sheetName val="Grand Summary"/>
      <sheetName val="BLOCK308"/>
      <sheetName val="RB E-1 300kp Res. Super St."/>
      <sheetName val="Title List"/>
      <sheetName val="Info"/>
      <sheetName val="PROJECT_TRACKING13"/>
      <sheetName val="Service_quarter4"/>
      <sheetName val="Guard_house4"/>
      <sheetName val="Dry_latrine4"/>
      <sheetName val="site_san4"/>
      <sheetName val="electrical_site_work4"/>
      <sheetName val="Variation_work4"/>
      <sheetName val="OPD_take_off4"/>
      <sheetName val="Waiting_Takeoff4"/>
      <sheetName val="IPD_Takeoff4"/>
      <sheetName val="OR_takeoff4"/>
      <sheetName val="Break_Down__13"/>
      <sheetName val="Aca__Off_-_I13"/>
      <sheetName val="Labor_Budget4"/>
      <sheetName val="Income_Stmnt4"/>
      <sheetName val="08_Ar_&amp;_St4"/>
      <sheetName val="08_Summary4"/>
      <sheetName val="08_A-2_200kp_Resi_Sup_St_4"/>
      <sheetName val="Dining_Room_4"/>
      <sheetName val="Cash_flow_schedule_Phase_1&amp;24"/>
      <sheetName val="BOQ_block_34"/>
      <sheetName val="_L_-1__sub_R-bar_"/>
      <sheetName val="L-1_200kpa_Res_Sub"/>
      <sheetName val="Exc_"/>
      <sheetName val="MEWD_4"/>
      <sheetName val="SUB_BOQ4"/>
      <sheetName val="Week_44"/>
      <sheetName val="05_Ar_&amp;_St4"/>
      <sheetName val="A-2_blcok_work_Res_4"/>
      <sheetName val="05_RB_A-2_200kp_Res__Sub_St_4"/>
      <sheetName val="05_A-2_300kp_Sup_St_4"/>
      <sheetName val="dia_8mm"/>
      <sheetName val="page_-_12_MWF_oct__qty"/>
      <sheetName val="coded_&amp;_priced_(4)"/>
      <sheetName val="dia_14mm"/>
      <sheetName val="CR-1_Roof_Water_Pro_"/>
      <sheetName val="dia_16mm"/>
      <sheetName val="dia_10mm"/>
      <sheetName val="dia_12mm"/>
      <sheetName val="dia_20mm"/>
      <sheetName val="dia_24mm"/>
      <sheetName val="page_-1_project_information"/>
      <sheetName val="summary_of_activitie_old"/>
      <sheetName val="Ar_&amp;_St"/>
      <sheetName val="Sub_Structure_BC_=_200"/>
      <sheetName val="PROJECT_TRACKING14"/>
      <sheetName val="Service_quarter5"/>
      <sheetName val="Guard_house5"/>
      <sheetName val="Dry_latrine5"/>
      <sheetName val="site_san5"/>
      <sheetName val="electrical_site_work5"/>
      <sheetName val="Variation_work5"/>
      <sheetName val="OPD_take_off5"/>
      <sheetName val="Waiting_Takeoff5"/>
      <sheetName val="IPD_Takeoff5"/>
      <sheetName val="OR_takeoff5"/>
      <sheetName val="Break_Down__14"/>
      <sheetName val="Aca__Off_-_I14"/>
      <sheetName val="Labor_Budget5"/>
      <sheetName val="Income_Stmnt5"/>
      <sheetName val="08_Ar_&amp;_St5"/>
      <sheetName val="08_Summary5"/>
      <sheetName val="08_A-2_200kp_Resi_Sup_St_5"/>
      <sheetName val="Dining_Room_5"/>
      <sheetName val="Cash_flow_schedule_Phase_1&amp;25"/>
      <sheetName val="BOQ_block_35"/>
      <sheetName val="_L_-1__sub_R-bar_1"/>
      <sheetName val="L-1_200kpa_Res_Sub1"/>
      <sheetName val="Exc_1"/>
      <sheetName val="MEWD_5"/>
      <sheetName val="SUB_BOQ5"/>
      <sheetName val="Week_45"/>
      <sheetName val="05_Ar_&amp;_St5"/>
      <sheetName val="A-2_blcok_work_Res_5"/>
      <sheetName val="05_RB_A-2_200kp_Res__Sub_St_5"/>
      <sheetName val="05_A-2_300kp_Sup_St_5"/>
      <sheetName val="Lab__BOQ_1"/>
      <sheetName val="dia_8mm1"/>
      <sheetName val="page_-_12_MWF_oct__qty1"/>
      <sheetName val="coded_&amp;_priced_(4)1"/>
      <sheetName val="dia_14mm1"/>
      <sheetName val="CR-1_Roof_Water_Pro_1"/>
      <sheetName val="dia_16mm1"/>
      <sheetName val="dia_10mm1"/>
      <sheetName val="dia_12mm1"/>
      <sheetName val="dia_20mm1"/>
      <sheetName val="dia_24mm1"/>
      <sheetName val="page_-1_project_information1"/>
      <sheetName val="summary_of_activitie_old1"/>
      <sheetName val="Ar_&amp;_St1"/>
      <sheetName val="Sub_Structure_BC_=_2001"/>
      <sheetName val="C. Material "/>
      <sheetName val="E. Equipments"/>
      <sheetName val="D. Labor "/>
      <sheetName val="PRECAST lightconc-II"/>
      <sheetName val="FEd BOQ"/>
      <sheetName val="Resource sheet"/>
      <sheetName val="cost breakdown"/>
      <sheetName val="Grand Summary page (2)"/>
      <sheetName val="Grand Summary page"/>
      <sheetName val="Dorm"/>
      <sheetName val="G+4"/>
      <sheetName val="Admins."/>
      <sheetName val="Generator house"/>
      <sheetName val="fence"/>
      <sheetName val=" Kitchen"/>
      <sheetName val="Recreation center"/>
      <sheetName val="Maint of exist wk"/>
      <sheetName val=" Dry Latrine"/>
      <sheetName val="Wash basin"/>
      <sheetName val="Distributin Board Houses"/>
      <sheetName val="Site Works "/>
      <sheetName val="Sheet3"/>
      <sheetName val="Raw Data"/>
      <sheetName val="OPD takh_x005f_x0000_t_x005f_x0000_t"/>
      <sheetName val="Bills_of_Quantities1"/>
      <sheetName val="perforated_sheet_cost_-Customs1"/>
      <sheetName val="Bills_of_Quantities"/>
      <sheetName val="perforated_sheet_cost_-Customs"/>
      <sheetName val="Bills_of_Quantities3"/>
      <sheetName val="Mob_II4"/>
      <sheetName val="Ls_Item4"/>
      <sheetName val="Lab__BOQ_3"/>
      <sheetName val="dia_8mm3"/>
      <sheetName val="page_-_12_MWF_oct__qty3"/>
      <sheetName val="coded_&amp;_priced_(4)3"/>
      <sheetName val="dia_14mm3"/>
      <sheetName val="CR-1_Roof_Water_Pro_3"/>
      <sheetName val="dia_16mm3"/>
      <sheetName val="dia_10mm3"/>
      <sheetName val="dia_12mm3"/>
      <sheetName val="dia_20mm3"/>
      <sheetName val="dia_24mm3"/>
      <sheetName val="page_-1_project_information3"/>
      <sheetName val="summary_of_activitie_old3"/>
      <sheetName val="Ar_&amp;_St3"/>
      <sheetName val="Sub_Structure_BC_=_2003"/>
      <sheetName val="perforated_sheet_cost_-Customs3"/>
      <sheetName val="ST_con__Sup__M_B_1"/>
      <sheetName val="SUP_bar1"/>
      <sheetName val="_analysis1"/>
      <sheetName val="_L_-1__sub_R-bar_for_200Kpa_1"/>
      <sheetName val="_Ar_&amp;_St1"/>
      <sheetName val="Sub_Structure_BC_=_3001"/>
      <sheetName val="E-1_300kp_Res__Sup_St_1"/>
      <sheetName val="05_RB_A-2_300kp_Shop_Sub_St_1"/>
      <sheetName val="Grand_Summary1"/>
      <sheetName val="OPD_takhtt"/>
      <sheetName val="Bills_of_Quantities2"/>
      <sheetName val="Mob_II3"/>
      <sheetName val="Ls_Item3"/>
      <sheetName val="Lab__BOQ_2"/>
      <sheetName val="dia_8mm2"/>
      <sheetName val="page_-_12_MWF_oct__qty2"/>
      <sheetName val="coded_&amp;_priced_(4)2"/>
      <sheetName val="dia_14mm2"/>
      <sheetName val="CR-1_Roof_Water_Pro_2"/>
      <sheetName val="dia_16mm2"/>
      <sheetName val="dia_10mm2"/>
      <sheetName val="dia_12mm2"/>
      <sheetName val="dia_20mm2"/>
      <sheetName val="dia_24mm2"/>
      <sheetName val="page_-1_project_information2"/>
      <sheetName val="summary_of_activitie_old2"/>
      <sheetName val="Ar_&amp;_St2"/>
      <sheetName val="Sub_Structure_BC_=_2002"/>
      <sheetName val="perforated_sheet_cost_-Customs2"/>
      <sheetName val="ST_con__Sup__M_B_"/>
      <sheetName val="SUP_bar"/>
      <sheetName val="_analysis"/>
      <sheetName val="_L_-1__sub_R-bar_for_200Kpa_"/>
      <sheetName val="_Ar_&amp;_St"/>
      <sheetName val="Sub_Structure_BC_=_300"/>
      <sheetName val="E-1_300kp_Res__Sup_St_"/>
      <sheetName val="05_RB_A-2_300kp_Shop_Sub_St_"/>
      <sheetName val="Grand_Summary"/>
      <sheetName val="Bills_of_Quantities4"/>
      <sheetName val="Mob_II5"/>
      <sheetName val="Ls_Item5"/>
      <sheetName val="Lab__BOQ_4"/>
      <sheetName val="dia_8mm4"/>
      <sheetName val="page_-_12_MWF_oct__qty4"/>
      <sheetName val="coded_&amp;_priced_(4)4"/>
      <sheetName val="dia_14mm4"/>
      <sheetName val="CR-1_Roof_Water_Pro_4"/>
      <sheetName val="dia_16mm4"/>
      <sheetName val="dia_10mm4"/>
      <sheetName val="dia_12mm4"/>
      <sheetName val="dia_20mm4"/>
      <sheetName val="dia_24mm4"/>
      <sheetName val="page_-1_project_information4"/>
      <sheetName val="summary_of_activitie_old4"/>
      <sheetName val="Ar_&amp;_St4"/>
      <sheetName val="Sub_Structure_BC_=_2004"/>
      <sheetName val="perforated_sheet_cost_-Customs4"/>
      <sheetName val="ST_con__Sup__M_B_2"/>
      <sheetName val="SUP_bar2"/>
      <sheetName val="_L_-1__sub_R-bar_2"/>
      <sheetName val="L-1_200kpa_Res_Sub2"/>
      <sheetName val="Exc_2"/>
      <sheetName val="_analysis2"/>
      <sheetName val="_L_-1__sub_R-bar_for_200Kpa_2"/>
      <sheetName val="_Ar_&amp;_St2"/>
      <sheetName val="Sub_Structure_BC_=_3002"/>
      <sheetName val="E-1_300kp_Res__Sup_St_2"/>
      <sheetName val="05_RB_A-2_300kp_Shop_Sub_St_2"/>
      <sheetName val="Grand_Summary2"/>
      <sheetName val="PROJECT_TRACKING15"/>
      <sheetName val="Service_quarter6"/>
      <sheetName val="Guard_house6"/>
      <sheetName val="Dry_latrine6"/>
      <sheetName val="site_san6"/>
      <sheetName val="electrical_site_work6"/>
      <sheetName val="Variation_work6"/>
      <sheetName val="OPD_take_off6"/>
      <sheetName val="Waiting_Takeoff6"/>
      <sheetName val="IPD_Takeoff6"/>
      <sheetName val="OR_takeoff6"/>
      <sheetName val="Income_Stmnt6"/>
      <sheetName val="Dining_Room_6"/>
      <sheetName val="Break_Down__15"/>
      <sheetName val="Aca__Off_-_I15"/>
      <sheetName val="08_Ar_&amp;_St6"/>
      <sheetName val="08_Summary6"/>
      <sheetName val="08_A-2_200kp_Resi_Sup_St_6"/>
      <sheetName val="Labor_Budget6"/>
      <sheetName val="Cash_flow_schedule_Phase_1&amp;26"/>
      <sheetName val="Bills_of_Quantities5"/>
      <sheetName val="Week_46"/>
      <sheetName val="Mob_II6"/>
      <sheetName val="Ls_Item6"/>
      <sheetName val="Lab__BOQ_5"/>
      <sheetName val="dia_8mm5"/>
      <sheetName val="page_-_12_MWF_oct__qty5"/>
      <sheetName val="coded_&amp;_priced_(4)5"/>
      <sheetName val="dia_14mm5"/>
      <sheetName val="CR-1_Roof_Water_Pro_5"/>
      <sheetName val="dia_16mm5"/>
      <sheetName val="dia_10mm5"/>
      <sheetName val="dia_12mm5"/>
      <sheetName val="dia_20mm5"/>
      <sheetName val="dia_24mm5"/>
      <sheetName val="page_-1_project_information5"/>
      <sheetName val="summary_of_activitie_old5"/>
      <sheetName val="Ar_&amp;_St5"/>
      <sheetName val="Sub_Structure_BC_=_2005"/>
      <sheetName val="perforated_sheet_cost_-Customs5"/>
      <sheetName val="ST_con__Sup__M_B_3"/>
      <sheetName val="SUP_bar3"/>
      <sheetName val="_L_-1__sub_R-bar_3"/>
      <sheetName val="L-1_200kpa_Res_Sub3"/>
      <sheetName val="Exc_3"/>
      <sheetName val="_analysis3"/>
      <sheetName val="_L_-1__sub_R-bar_for_200Kpa_3"/>
      <sheetName val="_Ar_&amp;_St3"/>
      <sheetName val="Sub_Structure_BC_=_3003"/>
      <sheetName val="E-1_300kp_Res__Sup_St_3"/>
      <sheetName val="05_RB_A-2_300kp_Shop_Sub_St_3"/>
      <sheetName val="Grand_Summary3"/>
      <sheetName val="PROJECT_TRACKING16"/>
      <sheetName val="Service_quarter7"/>
      <sheetName val="Guard_house7"/>
      <sheetName val="Dry_latrine7"/>
      <sheetName val="site_san7"/>
      <sheetName val="electrical_site_work7"/>
      <sheetName val="Variation_work7"/>
      <sheetName val="OPD_take_off7"/>
      <sheetName val="Waiting_Takeoff7"/>
      <sheetName val="IPD_Takeoff7"/>
      <sheetName val="OR_takeoff7"/>
      <sheetName val="Income_Stmnt7"/>
      <sheetName val="Dining_Room_7"/>
      <sheetName val="Break_Down__16"/>
      <sheetName val="Aca__Off_-_I16"/>
      <sheetName val="08_Ar_&amp;_St7"/>
      <sheetName val="08_Summary7"/>
      <sheetName val="08_A-2_200kp_Resi_Sup_St_7"/>
      <sheetName val="Labor_Budget7"/>
      <sheetName val="Cash_flow_schedule_Phase_1&amp;27"/>
      <sheetName val="Bills_of_Quantities6"/>
      <sheetName val="Week_47"/>
      <sheetName val="MEWD_6"/>
      <sheetName val="SUB_BOQ6"/>
      <sheetName val="BOQ_block_36"/>
      <sheetName val="Mob_II7"/>
      <sheetName val="Ls_Item7"/>
      <sheetName val="Lab__BOQ_6"/>
      <sheetName val="05_Ar_&amp;_St6"/>
      <sheetName val="A-2_blcok_work_Res_6"/>
      <sheetName val="05_RB_A-2_200kp_Res__Sub_St_6"/>
      <sheetName val="05_A-2_300kp_Sup_St_6"/>
      <sheetName val="dia_8mm6"/>
      <sheetName val="page_-_12_MWF_oct__qty6"/>
      <sheetName val="coded_&amp;_priced_(4)6"/>
      <sheetName val="dia_14mm6"/>
      <sheetName val="CR-1_Roof_Water_Pro_6"/>
      <sheetName val="dia_16mm6"/>
      <sheetName val="dia_10mm6"/>
      <sheetName val="dia_12mm6"/>
      <sheetName val="dia_20mm6"/>
      <sheetName val="dia_24mm6"/>
      <sheetName val="page_-1_project_information6"/>
      <sheetName val="summary_of_activitie_old6"/>
      <sheetName val="Ar_&amp;_St6"/>
      <sheetName val="Sub_Structure_BC_=_2006"/>
      <sheetName val="perforated_sheet_cost_-Customs6"/>
      <sheetName val="ST_con__Sup__M_B_4"/>
      <sheetName val="SUP_bar4"/>
      <sheetName val="_L_-1__sub_R-bar_4"/>
      <sheetName val="L-1_200kpa_Res_Sub4"/>
      <sheetName val="Exc_4"/>
      <sheetName val="_analysis4"/>
      <sheetName val="_L_-1__sub_R-bar_for_200Kpa_4"/>
      <sheetName val="_Ar_&amp;_St4"/>
      <sheetName val="Sub_Structure_BC_=_3004"/>
      <sheetName val="E-1_300kp_Res__Sup_St_4"/>
      <sheetName val="05_RB_A-2_300kp_Shop_Sub_St_4"/>
      <sheetName val="Grand_Summary4"/>
      <sheetName val="PROJECT_TRACKING17"/>
      <sheetName val="Service_quarter8"/>
      <sheetName val="Guard_house8"/>
      <sheetName val="Dry_latrine8"/>
      <sheetName val="site_san8"/>
      <sheetName val="electrical_site_work8"/>
      <sheetName val="Variation_work8"/>
      <sheetName val="OPD_take_off8"/>
      <sheetName val="Waiting_Takeoff8"/>
      <sheetName val="IPD_Takeoff8"/>
      <sheetName val="OR_takeoff8"/>
      <sheetName val="Income_Stmnt8"/>
      <sheetName val="Dining_Room_8"/>
      <sheetName val="Break_Down__17"/>
      <sheetName val="Aca__Off_-_I17"/>
      <sheetName val="08_Ar_&amp;_St8"/>
      <sheetName val="08_Summary8"/>
      <sheetName val="08_A-2_200kp_Resi_Sup_St_8"/>
      <sheetName val="Labor_Budget8"/>
      <sheetName val="Cash_flow_schedule_Phase_1&amp;28"/>
      <sheetName val="Bills_of_Quantities7"/>
      <sheetName val="Week_48"/>
      <sheetName val="MEWD_7"/>
      <sheetName val="SUB_BOQ7"/>
      <sheetName val="BOQ_block_37"/>
      <sheetName val="Mob_II8"/>
      <sheetName val="Ls_Item8"/>
      <sheetName val="Lab__BOQ_7"/>
      <sheetName val="05_Ar_&amp;_St7"/>
      <sheetName val="A-2_blcok_work_Res_7"/>
      <sheetName val="05_RB_A-2_200kp_Res__Sub_St_7"/>
      <sheetName val="05_A-2_300kp_Sup_St_7"/>
      <sheetName val="dia_8mm7"/>
      <sheetName val="page_-_12_MWF_oct__qty7"/>
      <sheetName val="coded_&amp;_priced_(4)7"/>
      <sheetName val="dia_14mm7"/>
      <sheetName val="CR-1_Roof_Water_Pro_7"/>
      <sheetName val="dia_16mm7"/>
      <sheetName val="dia_10mm7"/>
      <sheetName val="dia_12mm7"/>
      <sheetName val="dia_20mm7"/>
      <sheetName val="dia_24mm7"/>
      <sheetName val="page_-1_project_information7"/>
      <sheetName val="summary_of_activitie_old7"/>
      <sheetName val="Ar_&amp;_St7"/>
      <sheetName val="Sub_Structure_BC_=_2007"/>
      <sheetName val="perforated_sheet_cost_-Customs7"/>
      <sheetName val="ST_con__Sup__M_B_5"/>
      <sheetName val="SUP_bar5"/>
      <sheetName val="_L_-1__sub_R-bar_5"/>
      <sheetName val="L-1_200kpa_Res_Sub5"/>
      <sheetName val="Exc_5"/>
      <sheetName val="_analysis5"/>
      <sheetName val="_L_-1__sub_R-bar_for_200Kpa_5"/>
      <sheetName val="_Ar_&amp;_St5"/>
      <sheetName val="Sub_Structure_BC_=_3005"/>
      <sheetName val="E-1_300kp_Res__Sup_St_5"/>
      <sheetName val="05_RB_A-2_300kp_Shop_Sub_St_5"/>
      <sheetName val="Grand_Summary5"/>
      <sheetName val="Certificate Pay 1"/>
      <sheetName val="Labor"/>
      <sheetName val="Material"/>
      <sheetName val="Super BOQ"/>
      <sheetName val="Supr Rebar"/>
      <sheetName val="E-1 200kp  Sup St."/>
      <sheetName val="RB E-1 200kp Res. Sub St."/>
      <sheetName val="E-1 200kp Res. Sub St."/>
      <sheetName val="간선계산"/>
      <sheetName val="ST"/>
      <sheetName val="Data"/>
      <sheetName val="Excav"/>
      <sheetName val="AR&amp;ST REV"/>
      <sheetName val="Mat.datal"/>
      <sheetName val="TOS NO-7 FACTORY"/>
      <sheetName val="TOS-NO-7 UG TANK"/>
      <sheetName val="05_A-2_300kp_Shop_Sup_St_"/>
      <sheetName val="Final_Direct_Cost"/>
      <sheetName val="EST PAYM"/>
      <sheetName val="DATA SHEET"/>
      <sheetName val="sheet18"/>
      <sheetName val="Sheet4"/>
      <sheetName val="management"/>
      <sheetName val="AUX DATA"/>
      <sheetName val="Bitumen &amp; Emulsions"/>
      <sheetName val="AUX DC SUMARY"/>
      <sheetName val="AUX RATES"/>
      <sheetName val="AUX HOURS"/>
      <sheetName val="General cost"/>
      <sheetName val="Lot-2A(Rev.Bill )"/>
      <sheetName val="Lot-2B(Rev. Bill)"/>
      <sheetName val="Lot-1(Rev. Bill )"/>
      <sheetName val="PA(B-2)L"/>
      <sheetName val="JUCK"/>
      <sheetName val="PHY&amp;FIN PROG."/>
      <sheetName val="DIR Man power Rep"/>
      <sheetName val="DIR MP DATA "/>
      <sheetName val="INDIR MP Rep"/>
      <sheetName val="sub cont. work"/>
      <sheetName val="RHS and Latice Pulin "/>
      <sheetName val="Plastering for Res."/>
      <sheetName val="05 Sub Structure BC = 300"/>
      <sheetName val="05 RB A-2 300kp Res. Sub St."/>
      <sheetName val="05 Summary"/>
      <sheetName val="Daily_feed"/>
      <sheetName val="Re Bar-Super str."/>
      <sheetName val="L-2 Rhs"/>
      <sheetName val="L-2 MEWD Standard"/>
      <sheetName val="L-2 Resi Sub Standard."/>
      <sheetName val="DAF-2"/>
      <sheetName val="자압"/>
      <sheetName val="Loading and analysis"/>
      <sheetName val="SUB ST"/>
      <sheetName val="Bill off sheet (12)"/>
      <sheetName val="300 AR-ST"/>
      <sheetName val="Break_Down__20"/>
      <sheetName val="Aca__Off_-_I20"/>
      <sheetName val="Service_quarter11"/>
      <sheetName val="Guard_house11"/>
      <sheetName val="Dry_latrine11"/>
      <sheetName val="site_san11"/>
      <sheetName val="electrical_site_work11"/>
      <sheetName val="Variation_work11"/>
      <sheetName val="OPD_take_off11"/>
      <sheetName val="Waiting_Takeoff11"/>
      <sheetName val="IPD_Takeoff11"/>
      <sheetName val="OR_takeoff11"/>
      <sheetName val="Income_Stmnt11"/>
      <sheetName val="PROJECT_TRACKING20"/>
      <sheetName val="Labor_Budget11"/>
      <sheetName val="08_Ar_&amp;_St11"/>
      <sheetName val="08_Summary11"/>
      <sheetName val="08_A-2_200kp_Resi_Sup_St_11"/>
      <sheetName val="Week_411"/>
      <sheetName val="Cash_flow_schedule_Phase_1&amp;211"/>
      <sheetName val="Dining_Room_11"/>
      <sheetName val="MEWD_10"/>
      <sheetName val="BOQ_block_310"/>
      <sheetName val="Lab__BOQ_10"/>
      <sheetName val="05_Ar_&amp;_St10"/>
      <sheetName val="A-2_blcok_work_Res_10"/>
      <sheetName val="05_RB_A-2_200kp_Res__Sub_St_10"/>
      <sheetName val="05_A-2_300kp_Sup_St_10"/>
      <sheetName val="_L_-1__sub_R-bar_8"/>
      <sheetName val="L-1_200kpa_Res_Sub8"/>
      <sheetName val="Exc_8"/>
      <sheetName val="05_RB_A-2_300kp_Shop_Sub_St_8"/>
      <sheetName val="SUB_BOQ10"/>
      <sheetName val="Mob_II11"/>
      <sheetName val="Ls_Item11"/>
      <sheetName val="_analysis8"/>
      <sheetName val="page_-1_project_information10"/>
      <sheetName val="summary_of_activitie_old10"/>
      <sheetName val="dia_8mm10"/>
      <sheetName val="page_-_12_MWF_oct__qty10"/>
      <sheetName val="coded_&amp;_priced_(4)10"/>
      <sheetName val="dia_14mm10"/>
      <sheetName val="CR-1_Roof_Water_Pro_10"/>
      <sheetName val="dia_16mm10"/>
      <sheetName val="dia_10mm10"/>
      <sheetName val="dia_12mm10"/>
      <sheetName val="dia_20mm10"/>
      <sheetName val="dia_24mm10"/>
      <sheetName val="Ar_&amp;_St10"/>
      <sheetName val="Sub_Structure_BC_=_20010"/>
      <sheetName val="_L_-1__sub_R-bar_for_200Kpa_8"/>
      <sheetName val="_Ar_&amp;_St8"/>
      <sheetName val="05_A-2_300kp_Shop_Sup_St_3"/>
      <sheetName val="perforated_sheet_cost_-Custom10"/>
      <sheetName val="Sub_Structure_BC_=_3008"/>
      <sheetName val="E-1_300kp_Res__Sup_St_8"/>
      <sheetName val="Final_Direct_Cost3"/>
      <sheetName val="Bills_of_Quantities10"/>
      <sheetName val="Grand_Summary8"/>
      <sheetName val="Summary_Chash_Flow2"/>
      <sheetName val="Title_List2"/>
      <sheetName val="ST_con__Sup__M_B_8"/>
      <sheetName val="SUP_bar8"/>
      <sheetName val="E-1_Block_Work_Residence2"/>
      <sheetName val="05_A-2_300kp_Res__Sup_St_2"/>
      <sheetName val="RB_E-1_300kp_Res__Super_St_2"/>
      <sheetName val="Certificate_Pay_12"/>
      <sheetName val="Super_BOQ2"/>
      <sheetName val="Supr_Rebar2"/>
      <sheetName val="OPD_takh2"/>
      <sheetName val="PRECAST_lightconc-II2"/>
      <sheetName val="Raw_Data2"/>
      <sheetName val="C__Material_2"/>
      <sheetName val="E__Equipments2"/>
      <sheetName val="D__Labor_2"/>
      <sheetName val="RB_E-1_200kp_Res__Sub_St_2"/>
      <sheetName val="E-1_200kp_Res__Sub_St_2"/>
      <sheetName val="E-1_200kp__Sup_St_2"/>
      <sheetName val="OPD_takh_x005f_x0000_t_x005f_x0000_t2"/>
      <sheetName val="Service_quarter9"/>
      <sheetName val="Guard_house9"/>
      <sheetName val="Dry_latrine9"/>
      <sheetName val="site_san9"/>
      <sheetName val="electrical_site_work9"/>
      <sheetName val="Variation_work9"/>
      <sheetName val="OPD_take_off9"/>
      <sheetName val="Waiting_Takeoff9"/>
      <sheetName val="IPD_Takeoff9"/>
      <sheetName val="OR_takeoff9"/>
      <sheetName val="PROJECT_TRACKING18"/>
      <sheetName val="Break_Down__18"/>
      <sheetName val="Aca__Off_-_I18"/>
      <sheetName val="Labor_Budget9"/>
      <sheetName val="Income_Stmnt9"/>
      <sheetName val="08_Ar_&amp;_St9"/>
      <sheetName val="08_Summary9"/>
      <sheetName val="08_A-2_200kp_Resi_Sup_St_9"/>
      <sheetName val="Dining_Room_9"/>
      <sheetName val="Cash_flow_schedule_Phase_1&amp;29"/>
      <sheetName val="05_Ar_&amp;_St8"/>
      <sheetName val="A-2_blcok_work_Res_8"/>
      <sheetName val="05_RB_A-2_200kp_Res__Sub_St_8"/>
      <sheetName val="05_A-2_300kp_Sup_St_8"/>
      <sheetName val="BOQ_block_38"/>
      <sheetName val="Week_49"/>
      <sheetName val="MEWD_8"/>
      <sheetName val="SUB_BOQ8"/>
      <sheetName val="Lab__BOQ_8"/>
      <sheetName val="Mob_II9"/>
      <sheetName val="Ls_Item9"/>
      <sheetName val="dia_8mm8"/>
      <sheetName val="page_-_12_MWF_oct__qty8"/>
      <sheetName val="coded_&amp;_priced_(4)8"/>
      <sheetName val="dia_14mm8"/>
      <sheetName val="CR-1_Roof_Water_Pro_8"/>
      <sheetName val="dia_16mm8"/>
      <sheetName val="dia_10mm8"/>
      <sheetName val="dia_12mm8"/>
      <sheetName val="dia_20mm8"/>
      <sheetName val="dia_24mm8"/>
      <sheetName val="page_-1_project_information8"/>
      <sheetName val="summary_of_activitie_old8"/>
      <sheetName val="Ar_&amp;_St8"/>
      <sheetName val="Sub_Structure_BC_=_2008"/>
      <sheetName val="_L_-1__sub_R-bar_for_200Kpa_6"/>
      <sheetName val="_Ar_&amp;_St6"/>
      <sheetName val="_analysis6"/>
      <sheetName val="_L_-1__sub_R-bar_6"/>
      <sheetName val="L-1_200kpa_Res_Sub6"/>
      <sheetName val="Exc_6"/>
      <sheetName val="05_RB_A-2_300kp_Shop_Sub_St_6"/>
      <sheetName val="Summary_Chash_Flow"/>
      <sheetName val="perforated_sheet_cost_-Customs8"/>
      <sheetName val="Sub_Structure_BC_=_3006"/>
      <sheetName val="E-1_300kp_Res__Sup_St_6"/>
      <sheetName val="Grand_Summary6"/>
      <sheetName val="Bills_of_Quantities8"/>
      <sheetName val="Final_Direct_Cost1"/>
      <sheetName val="05_A-2_300kp_Shop_Sup_St_1"/>
      <sheetName val="PRECAST_lightconc-II"/>
      <sheetName val="05_A-2_300kp_Res__Sup_St_"/>
      <sheetName val="ST_con__Sup__M_B_6"/>
      <sheetName val="SUP_bar6"/>
      <sheetName val="E-1_Block_Work_Residence"/>
      <sheetName val="RB_E-1_300kp_Res__Super_St_"/>
      <sheetName val="OPD_takh"/>
      <sheetName val="Certificate_Pay_1"/>
      <sheetName val="Title_List"/>
      <sheetName val="RB_E-1_200kp_Res__Sub_St_"/>
      <sheetName val="E-1_200kp_Res__Sub_St_"/>
      <sheetName val="E-1_200kp__Sup_St_"/>
      <sheetName val="Super_BOQ"/>
      <sheetName val="Supr_Rebar"/>
      <sheetName val="Raw_Data"/>
      <sheetName val="C__Material_"/>
      <sheetName val="E__Equipments"/>
      <sheetName val="D__Labor_"/>
      <sheetName val="OPD_takh_x005f_x0000_t_x005f_x0000_t"/>
      <sheetName val="Break_Down__19"/>
      <sheetName val="Aca__Off_-_I19"/>
      <sheetName val="Service_quarter10"/>
      <sheetName val="Guard_house10"/>
      <sheetName val="Dry_latrine10"/>
      <sheetName val="site_san10"/>
      <sheetName val="electrical_site_work10"/>
      <sheetName val="Variation_work10"/>
      <sheetName val="OPD_take_off10"/>
      <sheetName val="Waiting_Takeoff10"/>
      <sheetName val="IPD_Takeoff10"/>
      <sheetName val="OR_takeoff10"/>
      <sheetName val="Income_Stmnt10"/>
      <sheetName val="PROJECT_TRACKING19"/>
      <sheetName val="Labor_Budget10"/>
      <sheetName val="08_Ar_&amp;_St10"/>
      <sheetName val="08_Summary10"/>
      <sheetName val="08_A-2_200kp_Resi_Sup_St_10"/>
      <sheetName val="Week_410"/>
      <sheetName val="Cash_flow_schedule_Phase_1&amp;210"/>
      <sheetName val="Dining_Room_10"/>
      <sheetName val="MEWD_9"/>
      <sheetName val="BOQ_block_39"/>
      <sheetName val="Lab__BOQ_9"/>
      <sheetName val="05_Ar_&amp;_St9"/>
      <sheetName val="A-2_blcok_work_Res_9"/>
      <sheetName val="05_RB_A-2_200kp_Res__Sub_St_9"/>
      <sheetName val="05_A-2_300kp_Sup_St_9"/>
      <sheetName val="_L_-1__sub_R-bar_7"/>
      <sheetName val="L-1_200kpa_Res_Sub7"/>
      <sheetName val="Exc_7"/>
      <sheetName val="05_RB_A-2_300kp_Shop_Sub_St_7"/>
      <sheetName val="SUB_BOQ9"/>
      <sheetName val="Mob_II10"/>
      <sheetName val="Ls_Item10"/>
      <sheetName val="_analysis7"/>
      <sheetName val="page_-1_project_information9"/>
      <sheetName val="summary_of_activitie_old9"/>
      <sheetName val="dia_8mm9"/>
      <sheetName val="page_-_12_MWF_oct__qty9"/>
      <sheetName val="coded_&amp;_priced_(4)9"/>
      <sheetName val="dia_14mm9"/>
      <sheetName val="CR-1_Roof_Water_Pro_9"/>
      <sheetName val="dia_16mm9"/>
      <sheetName val="dia_10mm9"/>
      <sheetName val="dia_12mm9"/>
      <sheetName val="dia_20mm9"/>
      <sheetName val="dia_24mm9"/>
      <sheetName val="Ar_&amp;_St9"/>
      <sheetName val="Sub_Structure_BC_=_2009"/>
      <sheetName val="_L_-1__sub_R-bar_for_200Kpa_7"/>
      <sheetName val="_Ar_&amp;_St7"/>
      <sheetName val="05_A-2_300kp_Shop_Sup_St_2"/>
      <sheetName val="perforated_sheet_cost_-Customs9"/>
      <sheetName val="Sub_Structure_BC_=_3007"/>
      <sheetName val="E-1_300kp_Res__Sup_St_7"/>
      <sheetName val="Final_Direct_Cost2"/>
      <sheetName val="Bills_of_Quantities9"/>
      <sheetName val="Grand_Summary7"/>
      <sheetName val="Summary_Chash_Flow1"/>
      <sheetName val="Title_List1"/>
      <sheetName val="ST_con__Sup__M_B_7"/>
      <sheetName val="SUP_bar7"/>
      <sheetName val="E-1_Block_Work_Residence1"/>
      <sheetName val="05_A-2_300kp_Res__Sup_St_1"/>
      <sheetName val="RB_E-1_300kp_Res__Super_St_1"/>
      <sheetName val="Certificate_Pay_11"/>
      <sheetName val="Super_BOQ1"/>
      <sheetName val="Supr_Rebar1"/>
      <sheetName val="OPD_takh1"/>
      <sheetName val="PRECAST_lightconc-II1"/>
      <sheetName val="Raw_Data1"/>
      <sheetName val="C__Material_1"/>
      <sheetName val="E__Equipments1"/>
      <sheetName val="D__Labor_1"/>
      <sheetName val="RB_E-1_200kp_Res__Sub_St_1"/>
      <sheetName val="E-1_200kp_Res__Sub_St_1"/>
      <sheetName val="E-1_200kp__Sup_St_1"/>
      <sheetName val="OPD_takh_x005f_x0000_t_x005f_x0000_t1"/>
      <sheetName val="PROJECT_TRACKING21"/>
      <sheetName val="Break_Down__21"/>
      <sheetName val="Aca__Off_-_I21"/>
      <sheetName val="Service_quarter12"/>
      <sheetName val="Guard_house12"/>
      <sheetName val="Dry_latrine12"/>
      <sheetName val="site_san12"/>
      <sheetName val="electrical_site_work12"/>
      <sheetName val="Variation_work12"/>
      <sheetName val="OPD_take_off12"/>
      <sheetName val="Waiting_Takeoff12"/>
      <sheetName val="IPD_Takeoff12"/>
      <sheetName val="OR_takeoff12"/>
      <sheetName val="Labor_Budget12"/>
      <sheetName val="Income_Stmnt12"/>
      <sheetName val="08_Ar_&amp;_St12"/>
      <sheetName val="08_Summary12"/>
      <sheetName val="08_A-2_200kp_Resi_Sup_St_12"/>
      <sheetName val="Dining_Room_12"/>
      <sheetName val="05_Ar_&amp;_St11"/>
      <sheetName val="A-2_blcok_work_Res_11"/>
      <sheetName val="05_RB_A-2_200kp_Res__Sub_St_11"/>
      <sheetName val="05_A-2_300kp_Sup_St_11"/>
      <sheetName val="Cash_flow_schedule_Phase_1&amp;212"/>
      <sheetName val="Week_412"/>
      <sheetName val="BOQ_block_311"/>
      <sheetName val="Mob_II12"/>
      <sheetName val="Ls_Item12"/>
      <sheetName val="MEWD_11"/>
      <sheetName val="dia_8mm11"/>
      <sheetName val="page_-_12_MWF_oct__qty11"/>
      <sheetName val="coded_&amp;_priced_(4)11"/>
      <sheetName val="dia_14mm11"/>
      <sheetName val="CR-1_Roof_Water_Pro_11"/>
      <sheetName val="dia_16mm11"/>
      <sheetName val="dia_10mm11"/>
      <sheetName val="dia_12mm11"/>
      <sheetName val="dia_20mm11"/>
      <sheetName val="dia_24mm11"/>
      <sheetName val="page_-1_project_information11"/>
      <sheetName val="summary_of_activitie_old11"/>
      <sheetName val="Lab__BOQ_11"/>
      <sheetName val="SUB_BOQ11"/>
      <sheetName val="Ar_&amp;_St11"/>
      <sheetName val="Sub_Structure_BC_=_20011"/>
      <sheetName val="Bills_of_Quantities11"/>
      <sheetName val="perforated_sheet_cost_-Custom11"/>
      <sheetName val="_L_-1__sub_R-bar_9"/>
      <sheetName val="L-1_200kpa_Res_Sub9"/>
      <sheetName val="Exc_9"/>
      <sheetName val="_analysis9"/>
      <sheetName val="_L_-1__sub_R-bar_for_200Kpa_9"/>
      <sheetName val="_Ar_&amp;_St9"/>
      <sheetName val="Sub_Structure_BC_=_3009"/>
      <sheetName val="E-1_300kp_Res__Sup_St_9"/>
      <sheetName val="05_RB_A-2_300kp_Shop_Sub_St_9"/>
      <sheetName val="Grand_Summary9"/>
      <sheetName val="Summary_Chash_Flow3"/>
      <sheetName val="Final_Direct_Cost4"/>
      <sheetName val="Title_List3"/>
      <sheetName val="ST_con__Sup__M_B_9"/>
      <sheetName val="SUP_bar9"/>
      <sheetName val="05_A-2_300kp_Shop_Sup_St_4"/>
      <sheetName val="E-1_Block_Work_Residence3"/>
      <sheetName val="05_A-2_300kp_Res__Sup_St_3"/>
      <sheetName val="RB_E-1_300kp_Res__Super_St_3"/>
      <sheetName val="Certificate_Pay_13"/>
      <sheetName val="Super_BOQ3"/>
      <sheetName val="Supr_Rebar3"/>
      <sheetName val="OPD_takh3"/>
      <sheetName val="PRECAST_lightconc-II3"/>
      <sheetName val="Raw_Data3"/>
      <sheetName val="C__Material_3"/>
      <sheetName val="E__Equipments3"/>
      <sheetName val="D__Labor_3"/>
      <sheetName val="RB_E-1_200kp_Res__Sub_St_3"/>
      <sheetName val="E-1_200kp_Res__Sub_St_3"/>
      <sheetName val="E-1_200kp__Sup_St_3"/>
      <sheetName val="OPD_takh_x005f_x0000_t_x005f_x0000_t3"/>
      <sheetName val="06 to 08 Ar &amp; St"/>
      <sheetName val="a-1 200kp resi sup st."/>
      <sheetName val="do-022"/>
      <sheetName val="do-023"/>
      <sheetName val="do-tv-024"/>
      <sheetName val="CW General Summary "/>
      <sheetName val="Alluminium works"/>
      <sheetName val="Carpentry work"/>
      <sheetName val="Concrete work"/>
      <sheetName val="Excavation and earth work"/>
      <sheetName val="Finishing works"/>
      <sheetName val="Formwork"/>
      <sheetName val="masonary"/>
      <sheetName val="metal work"/>
      <sheetName val="Painting"/>
      <sheetName val="Reinforcement "/>
      <sheetName val="Roofing "/>
      <sheetName val="Wooden Doors"/>
    </sheetNames>
    <sheetDataSet>
      <sheetData sheetId="0">
        <row r="51">
          <cell r="G51">
            <v>11.8125</v>
          </cell>
        </row>
      </sheetData>
      <sheetData sheetId="1">
        <row r="51">
          <cell r="G51">
            <v>11.8125</v>
          </cell>
        </row>
      </sheetData>
      <sheetData sheetId="2">
        <row r="51">
          <cell r="G51">
            <v>11.8125</v>
          </cell>
        </row>
      </sheetData>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sheetData sheetId="151" refreshError="1"/>
      <sheetData sheetId="152" refreshError="1"/>
      <sheetData sheetId="153" refreshError="1"/>
      <sheetData sheetId="154" refreshError="1"/>
      <sheetData sheetId="155" refreshError="1"/>
      <sheetData sheetId="156" refreshError="1"/>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sheetData sheetId="193"/>
      <sheetData sheetId="194" refreshError="1"/>
      <sheetData sheetId="195"/>
      <sheetData sheetId="196"/>
      <sheetData sheetId="197"/>
      <sheetData sheetId="198"/>
      <sheetData sheetId="199"/>
      <sheetData sheetId="200" refreshError="1"/>
      <sheetData sheetId="201" refreshError="1"/>
      <sheetData sheetId="202" refreshError="1"/>
      <sheetData sheetId="203"/>
      <sheetData sheetId="204" refreshError="1"/>
      <sheetData sheetId="205" refreshError="1"/>
      <sheetData sheetId="206" refreshError="1"/>
      <sheetData sheetId="207" refreshError="1"/>
      <sheetData sheetId="208"/>
      <sheetData sheetId="209" refreshError="1"/>
      <sheetData sheetId="210" refreshError="1"/>
      <sheetData sheetId="211" refreshError="1"/>
      <sheetData sheetId="212"/>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refreshError="1"/>
      <sheetData sheetId="628" refreshError="1"/>
      <sheetData sheetId="629"/>
      <sheetData sheetId="630"/>
      <sheetData sheetId="631"/>
      <sheetData sheetId="632"/>
      <sheetData sheetId="633"/>
      <sheetData sheetId="634"/>
      <sheetData sheetId="635"/>
      <sheetData sheetId="636"/>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sheetData sheetId="654"/>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r &amp; St"/>
      <sheetName val="Block Summary"/>
      <sheetName val="Summary"/>
      <sheetName val=" Sub Structure BC = 300"/>
      <sheetName val=" E2 Res (EXC&amp;MAS300kp)"/>
      <sheetName val="Excavation data "/>
      <sheetName val="masonary data"/>
      <sheetName val=" E2 Res TAKOFF(con sub300kp)"/>
      <sheetName val=" TAKE OFF(form sub 300kp)"/>
      <sheetName val="E2 Res TAKE OFF(ref sub 300 kp)"/>
      <sheetName val="take off con sup"/>
      <sheetName val="take off formwork sup"/>
      <sheetName val="R-bar sup"/>
      <sheetName val="Block Work Res."/>
      <sheetName val="Plate &amp; J-bolt"/>
    </sheetNames>
    <sheetDataSet>
      <sheetData sheetId="0" refreshError="1">
        <row r="7">
          <cell r="J7" t="str">
            <v>Todate Qty</v>
          </cell>
        </row>
        <row r="39">
          <cell r="M39">
            <v>437754.31000000006</v>
          </cell>
        </row>
        <row r="77">
          <cell r="M77">
            <v>2646</v>
          </cell>
        </row>
      </sheetData>
      <sheetData sheetId="1">
        <row r="14">
          <cell r="E14">
            <v>0</v>
          </cell>
        </row>
      </sheetData>
      <sheetData sheetId="2">
        <row r="14">
          <cell r="E14">
            <v>0</v>
          </cell>
        </row>
      </sheetData>
      <sheetData sheetId="3">
        <row r="7">
          <cell r="J7" t="str">
            <v>Todate Qty</v>
          </cell>
        </row>
      </sheetData>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 BOQ"/>
      <sheetName val="Supr Rebar"/>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view="pageBreakPreview" topLeftCell="A13" zoomScale="60" zoomScaleNormal="100" workbookViewId="0">
      <selection activeCell="N33" sqref="N33"/>
    </sheetView>
  </sheetViews>
  <sheetFormatPr defaultColWidth="0" defaultRowHeight="14.5"/>
  <cols>
    <col min="1" max="1" width="9.453125" style="66" customWidth="1"/>
    <col min="2" max="8" width="9.453125" style="59" customWidth="1"/>
    <col min="9" max="9" width="11.08984375" style="59" customWidth="1"/>
    <col min="10" max="10" width="7.54296875" style="59" customWidth="1"/>
    <col min="11" max="254" width="9.1796875" style="59" customWidth="1"/>
    <col min="255" max="256" width="0" style="59" hidden="1"/>
    <col min="257" max="257" width="34.1796875" style="59" customWidth="1"/>
    <col min="258" max="258" width="28.6328125" style="59" customWidth="1"/>
    <col min="259" max="259" width="32.1796875" style="59" customWidth="1"/>
    <col min="260" max="260" width="4" style="59" customWidth="1"/>
    <col min="261" max="262" width="17.453125" style="59" bestFit="1" customWidth="1"/>
    <col min="263" max="263" width="19.1796875" style="59" customWidth="1"/>
    <col min="264" max="510" width="9.1796875" style="59" customWidth="1"/>
    <col min="511" max="512" width="0" style="59" hidden="1"/>
    <col min="513" max="513" width="34.1796875" style="59" customWidth="1"/>
    <col min="514" max="514" width="28.6328125" style="59" customWidth="1"/>
    <col min="515" max="515" width="32.1796875" style="59" customWidth="1"/>
    <col min="516" max="516" width="4" style="59" customWidth="1"/>
    <col min="517" max="518" width="17.453125" style="59" bestFit="1" customWidth="1"/>
    <col min="519" max="519" width="19.1796875" style="59" customWidth="1"/>
    <col min="520" max="766" width="9.1796875" style="59" customWidth="1"/>
    <col min="767" max="768" width="0" style="59" hidden="1"/>
    <col min="769" max="769" width="34.1796875" style="59" customWidth="1"/>
    <col min="770" max="770" width="28.6328125" style="59" customWidth="1"/>
    <col min="771" max="771" width="32.1796875" style="59" customWidth="1"/>
    <col min="772" max="772" width="4" style="59" customWidth="1"/>
    <col min="773" max="774" width="17.453125" style="59" bestFit="1" customWidth="1"/>
    <col min="775" max="775" width="19.1796875" style="59" customWidth="1"/>
    <col min="776" max="1022" width="9.1796875" style="59" customWidth="1"/>
    <col min="1023" max="1024" width="0" style="59" hidden="1"/>
    <col min="1025" max="1025" width="34.1796875" style="59" customWidth="1"/>
    <col min="1026" max="1026" width="28.6328125" style="59" customWidth="1"/>
    <col min="1027" max="1027" width="32.1796875" style="59" customWidth="1"/>
    <col min="1028" max="1028" width="4" style="59" customWidth="1"/>
    <col min="1029" max="1030" width="17.453125" style="59" bestFit="1" customWidth="1"/>
    <col min="1031" max="1031" width="19.1796875" style="59" customWidth="1"/>
    <col min="1032" max="1278" width="9.1796875" style="59" customWidth="1"/>
    <col min="1279" max="1280" width="0" style="59" hidden="1"/>
    <col min="1281" max="1281" width="34.1796875" style="59" customWidth="1"/>
    <col min="1282" max="1282" width="28.6328125" style="59" customWidth="1"/>
    <col min="1283" max="1283" width="32.1796875" style="59" customWidth="1"/>
    <col min="1284" max="1284" width="4" style="59" customWidth="1"/>
    <col min="1285" max="1286" width="17.453125" style="59" bestFit="1" customWidth="1"/>
    <col min="1287" max="1287" width="19.1796875" style="59" customWidth="1"/>
    <col min="1288" max="1534" width="9.1796875" style="59" customWidth="1"/>
    <col min="1535" max="1536" width="0" style="59" hidden="1"/>
    <col min="1537" max="1537" width="34.1796875" style="59" customWidth="1"/>
    <col min="1538" max="1538" width="28.6328125" style="59" customWidth="1"/>
    <col min="1539" max="1539" width="32.1796875" style="59" customWidth="1"/>
    <col min="1540" max="1540" width="4" style="59" customWidth="1"/>
    <col min="1541" max="1542" width="17.453125" style="59" bestFit="1" customWidth="1"/>
    <col min="1543" max="1543" width="19.1796875" style="59" customWidth="1"/>
    <col min="1544" max="1790" width="9.1796875" style="59" customWidth="1"/>
    <col min="1791" max="1792" width="0" style="59" hidden="1"/>
    <col min="1793" max="1793" width="34.1796875" style="59" customWidth="1"/>
    <col min="1794" max="1794" width="28.6328125" style="59" customWidth="1"/>
    <col min="1795" max="1795" width="32.1796875" style="59" customWidth="1"/>
    <col min="1796" max="1796" width="4" style="59" customWidth="1"/>
    <col min="1797" max="1798" width="17.453125" style="59" bestFit="1" customWidth="1"/>
    <col min="1799" max="1799" width="19.1796875" style="59" customWidth="1"/>
    <col min="1800" max="2046" width="9.1796875" style="59" customWidth="1"/>
    <col min="2047" max="2048" width="0" style="59" hidden="1"/>
    <col min="2049" max="2049" width="34.1796875" style="59" customWidth="1"/>
    <col min="2050" max="2050" width="28.6328125" style="59" customWidth="1"/>
    <col min="2051" max="2051" width="32.1796875" style="59" customWidth="1"/>
    <col min="2052" max="2052" width="4" style="59" customWidth="1"/>
    <col min="2053" max="2054" width="17.453125" style="59" bestFit="1" customWidth="1"/>
    <col min="2055" max="2055" width="19.1796875" style="59" customWidth="1"/>
    <col min="2056" max="2302" width="9.1796875" style="59" customWidth="1"/>
    <col min="2303" max="2304" width="0" style="59" hidden="1"/>
    <col min="2305" max="2305" width="34.1796875" style="59" customWidth="1"/>
    <col min="2306" max="2306" width="28.6328125" style="59" customWidth="1"/>
    <col min="2307" max="2307" width="32.1796875" style="59" customWidth="1"/>
    <col min="2308" max="2308" width="4" style="59" customWidth="1"/>
    <col min="2309" max="2310" width="17.453125" style="59" bestFit="1" customWidth="1"/>
    <col min="2311" max="2311" width="19.1796875" style="59" customWidth="1"/>
    <col min="2312" max="2558" width="9.1796875" style="59" customWidth="1"/>
    <col min="2559" max="2560" width="0" style="59" hidden="1"/>
    <col min="2561" max="2561" width="34.1796875" style="59" customWidth="1"/>
    <col min="2562" max="2562" width="28.6328125" style="59" customWidth="1"/>
    <col min="2563" max="2563" width="32.1796875" style="59" customWidth="1"/>
    <col min="2564" max="2564" width="4" style="59" customWidth="1"/>
    <col min="2565" max="2566" width="17.453125" style="59" bestFit="1" customWidth="1"/>
    <col min="2567" max="2567" width="19.1796875" style="59" customWidth="1"/>
    <col min="2568" max="2814" width="9.1796875" style="59" customWidth="1"/>
    <col min="2815" max="2816" width="0" style="59" hidden="1"/>
    <col min="2817" max="2817" width="34.1796875" style="59" customWidth="1"/>
    <col min="2818" max="2818" width="28.6328125" style="59" customWidth="1"/>
    <col min="2819" max="2819" width="32.1796875" style="59" customWidth="1"/>
    <col min="2820" max="2820" width="4" style="59" customWidth="1"/>
    <col min="2821" max="2822" width="17.453125" style="59" bestFit="1" customWidth="1"/>
    <col min="2823" max="2823" width="19.1796875" style="59" customWidth="1"/>
    <col min="2824" max="3070" width="9.1796875" style="59" customWidth="1"/>
    <col min="3071" max="3072" width="0" style="59" hidden="1"/>
    <col min="3073" max="3073" width="34.1796875" style="59" customWidth="1"/>
    <col min="3074" max="3074" width="28.6328125" style="59" customWidth="1"/>
    <col min="3075" max="3075" width="32.1796875" style="59" customWidth="1"/>
    <col min="3076" max="3076" width="4" style="59" customWidth="1"/>
    <col min="3077" max="3078" width="17.453125" style="59" bestFit="1" customWidth="1"/>
    <col min="3079" max="3079" width="19.1796875" style="59" customWidth="1"/>
    <col min="3080" max="3326" width="9.1796875" style="59" customWidth="1"/>
    <col min="3327" max="3328" width="0" style="59" hidden="1"/>
    <col min="3329" max="3329" width="34.1796875" style="59" customWidth="1"/>
    <col min="3330" max="3330" width="28.6328125" style="59" customWidth="1"/>
    <col min="3331" max="3331" width="32.1796875" style="59" customWidth="1"/>
    <col min="3332" max="3332" width="4" style="59" customWidth="1"/>
    <col min="3333" max="3334" width="17.453125" style="59" bestFit="1" customWidth="1"/>
    <col min="3335" max="3335" width="19.1796875" style="59" customWidth="1"/>
    <col min="3336" max="3582" width="9.1796875" style="59" customWidth="1"/>
    <col min="3583" max="3584" width="0" style="59" hidden="1"/>
    <col min="3585" max="3585" width="34.1796875" style="59" customWidth="1"/>
    <col min="3586" max="3586" width="28.6328125" style="59" customWidth="1"/>
    <col min="3587" max="3587" width="32.1796875" style="59" customWidth="1"/>
    <col min="3588" max="3588" width="4" style="59" customWidth="1"/>
    <col min="3589" max="3590" width="17.453125" style="59" bestFit="1" customWidth="1"/>
    <col min="3591" max="3591" width="19.1796875" style="59" customWidth="1"/>
    <col min="3592" max="3838" width="9.1796875" style="59" customWidth="1"/>
    <col min="3839" max="3840" width="0" style="59" hidden="1"/>
    <col min="3841" max="3841" width="34.1796875" style="59" customWidth="1"/>
    <col min="3842" max="3842" width="28.6328125" style="59" customWidth="1"/>
    <col min="3843" max="3843" width="32.1796875" style="59" customWidth="1"/>
    <col min="3844" max="3844" width="4" style="59" customWidth="1"/>
    <col min="3845" max="3846" width="17.453125" style="59" bestFit="1" customWidth="1"/>
    <col min="3847" max="3847" width="19.1796875" style="59" customWidth="1"/>
    <col min="3848" max="4094" width="9.1796875" style="59" customWidth="1"/>
    <col min="4095" max="4096" width="0" style="59" hidden="1"/>
    <col min="4097" max="4097" width="34.1796875" style="59" customWidth="1"/>
    <col min="4098" max="4098" width="28.6328125" style="59" customWidth="1"/>
    <col min="4099" max="4099" width="32.1796875" style="59" customWidth="1"/>
    <col min="4100" max="4100" width="4" style="59" customWidth="1"/>
    <col min="4101" max="4102" width="17.453125" style="59" bestFit="1" customWidth="1"/>
    <col min="4103" max="4103" width="19.1796875" style="59" customWidth="1"/>
    <col min="4104" max="4350" width="9.1796875" style="59" customWidth="1"/>
    <col min="4351" max="4352" width="0" style="59" hidden="1"/>
    <col min="4353" max="4353" width="34.1796875" style="59" customWidth="1"/>
    <col min="4354" max="4354" width="28.6328125" style="59" customWidth="1"/>
    <col min="4355" max="4355" width="32.1796875" style="59" customWidth="1"/>
    <col min="4356" max="4356" width="4" style="59" customWidth="1"/>
    <col min="4357" max="4358" width="17.453125" style="59" bestFit="1" customWidth="1"/>
    <col min="4359" max="4359" width="19.1796875" style="59" customWidth="1"/>
    <col min="4360" max="4606" width="9.1796875" style="59" customWidth="1"/>
    <col min="4607" max="4608" width="0" style="59" hidden="1"/>
    <col min="4609" max="4609" width="34.1796875" style="59" customWidth="1"/>
    <col min="4610" max="4610" width="28.6328125" style="59" customWidth="1"/>
    <col min="4611" max="4611" width="32.1796875" style="59" customWidth="1"/>
    <col min="4612" max="4612" width="4" style="59" customWidth="1"/>
    <col min="4613" max="4614" width="17.453125" style="59" bestFit="1" customWidth="1"/>
    <col min="4615" max="4615" width="19.1796875" style="59" customWidth="1"/>
    <col min="4616" max="4862" width="9.1796875" style="59" customWidth="1"/>
    <col min="4863" max="4864" width="0" style="59" hidden="1"/>
    <col min="4865" max="4865" width="34.1796875" style="59" customWidth="1"/>
    <col min="4866" max="4866" width="28.6328125" style="59" customWidth="1"/>
    <col min="4867" max="4867" width="32.1796875" style="59" customWidth="1"/>
    <col min="4868" max="4868" width="4" style="59" customWidth="1"/>
    <col min="4869" max="4870" width="17.453125" style="59" bestFit="1" customWidth="1"/>
    <col min="4871" max="4871" width="19.1796875" style="59" customWidth="1"/>
    <col min="4872" max="5118" width="9.1796875" style="59" customWidth="1"/>
    <col min="5119" max="5120" width="0" style="59" hidden="1"/>
    <col min="5121" max="5121" width="34.1796875" style="59" customWidth="1"/>
    <col min="5122" max="5122" width="28.6328125" style="59" customWidth="1"/>
    <col min="5123" max="5123" width="32.1796875" style="59" customWidth="1"/>
    <col min="5124" max="5124" width="4" style="59" customWidth="1"/>
    <col min="5125" max="5126" width="17.453125" style="59" bestFit="1" customWidth="1"/>
    <col min="5127" max="5127" width="19.1796875" style="59" customWidth="1"/>
    <col min="5128" max="5374" width="9.1796875" style="59" customWidth="1"/>
    <col min="5375" max="5376" width="0" style="59" hidden="1"/>
    <col min="5377" max="5377" width="34.1796875" style="59" customWidth="1"/>
    <col min="5378" max="5378" width="28.6328125" style="59" customWidth="1"/>
    <col min="5379" max="5379" width="32.1796875" style="59" customWidth="1"/>
    <col min="5380" max="5380" width="4" style="59" customWidth="1"/>
    <col min="5381" max="5382" width="17.453125" style="59" bestFit="1" customWidth="1"/>
    <col min="5383" max="5383" width="19.1796875" style="59" customWidth="1"/>
    <col min="5384" max="5630" width="9.1796875" style="59" customWidth="1"/>
    <col min="5631" max="5632" width="0" style="59" hidden="1"/>
    <col min="5633" max="5633" width="34.1796875" style="59" customWidth="1"/>
    <col min="5634" max="5634" width="28.6328125" style="59" customWidth="1"/>
    <col min="5635" max="5635" width="32.1796875" style="59" customWidth="1"/>
    <col min="5636" max="5636" width="4" style="59" customWidth="1"/>
    <col min="5637" max="5638" width="17.453125" style="59" bestFit="1" customWidth="1"/>
    <col min="5639" max="5639" width="19.1796875" style="59" customWidth="1"/>
    <col min="5640" max="5886" width="9.1796875" style="59" customWidth="1"/>
    <col min="5887" max="5888" width="0" style="59" hidden="1"/>
    <col min="5889" max="5889" width="34.1796875" style="59" customWidth="1"/>
    <col min="5890" max="5890" width="28.6328125" style="59" customWidth="1"/>
    <col min="5891" max="5891" width="32.1796875" style="59" customWidth="1"/>
    <col min="5892" max="5892" width="4" style="59" customWidth="1"/>
    <col min="5893" max="5894" width="17.453125" style="59" bestFit="1" customWidth="1"/>
    <col min="5895" max="5895" width="19.1796875" style="59" customWidth="1"/>
    <col min="5896" max="6142" width="9.1796875" style="59" customWidth="1"/>
    <col min="6143" max="6144" width="0" style="59" hidden="1"/>
    <col min="6145" max="6145" width="34.1796875" style="59" customWidth="1"/>
    <col min="6146" max="6146" width="28.6328125" style="59" customWidth="1"/>
    <col min="6147" max="6147" width="32.1796875" style="59" customWidth="1"/>
    <col min="6148" max="6148" width="4" style="59" customWidth="1"/>
    <col min="6149" max="6150" width="17.453125" style="59" bestFit="1" customWidth="1"/>
    <col min="6151" max="6151" width="19.1796875" style="59" customWidth="1"/>
    <col min="6152" max="6398" width="9.1796875" style="59" customWidth="1"/>
    <col min="6399" max="6400" width="0" style="59" hidden="1"/>
    <col min="6401" max="6401" width="34.1796875" style="59" customWidth="1"/>
    <col min="6402" max="6402" width="28.6328125" style="59" customWidth="1"/>
    <col min="6403" max="6403" width="32.1796875" style="59" customWidth="1"/>
    <col min="6404" max="6404" width="4" style="59" customWidth="1"/>
    <col min="6405" max="6406" width="17.453125" style="59" bestFit="1" customWidth="1"/>
    <col min="6407" max="6407" width="19.1796875" style="59" customWidth="1"/>
    <col min="6408" max="6654" width="9.1796875" style="59" customWidth="1"/>
    <col min="6655" max="6656" width="0" style="59" hidden="1"/>
    <col min="6657" max="6657" width="34.1796875" style="59" customWidth="1"/>
    <col min="6658" max="6658" width="28.6328125" style="59" customWidth="1"/>
    <col min="6659" max="6659" width="32.1796875" style="59" customWidth="1"/>
    <col min="6660" max="6660" width="4" style="59" customWidth="1"/>
    <col min="6661" max="6662" width="17.453125" style="59" bestFit="1" customWidth="1"/>
    <col min="6663" max="6663" width="19.1796875" style="59" customWidth="1"/>
    <col min="6664" max="6910" width="9.1796875" style="59" customWidth="1"/>
    <col min="6911" max="6912" width="0" style="59" hidden="1"/>
    <col min="6913" max="6913" width="34.1796875" style="59" customWidth="1"/>
    <col min="6914" max="6914" width="28.6328125" style="59" customWidth="1"/>
    <col min="6915" max="6915" width="32.1796875" style="59" customWidth="1"/>
    <col min="6916" max="6916" width="4" style="59" customWidth="1"/>
    <col min="6917" max="6918" width="17.453125" style="59" bestFit="1" customWidth="1"/>
    <col min="6919" max="6919" width="19.1796875" style="59" customWidth="1"/>
    <col min="6920" max="7166" width="9.1796875" style="59" customWidth="1"/>
    <col min="7167" max="7168" width="0" style="59" hidden="1"/>
    <col min="7169" max="7169" width="34.1796875" style="59" customWidth="1"/>
    <col min="7170" max="7170" width="28.6328125" style="59" customWidth="1"/>
    <col min="7171" max="7171" width="32.1796875" style="59" customWidth="1"/>
    <col min="7172" max="7172" width="4" style="59" customWidth="1"/>
    <col min="7173" max="7174" width="17.453125" style="59" bestFit="1" customWidth="1"/>
    <col min="7175" max="7175" width="19.1796875" style="59" customWidth="1"/>
    <col min="7176" max="7422" width="9.1796875" style="59" customWidth="1"/>
    <col min="7423" max="7424" width="0" style="59" hidden="1"/>
    <col min="7425" max="7425" width="34.1796875" style="59" customWidth="1"/>
    <col min="7426" max="7426" width="28.6328125" style="59" customWidth="1"/>
    <col min="7427" max="7427" width="32.1796875" style="59" customWidth="1"/>
    <col min="7428" max="7428" width="4" style="59" customWidth="1"/>
    <col min="7429" max="7430" width="17.453125" style="59" bestFit="1" customWidth="1"/>
    <col min="7431" max="7431" width="19.1796875" style="59" customWidth="1"/>
    <col min="7432" max="7678" width="9.1796875" style="59" customWidth="1"/>
    <col min="7679" max="7680" width="0" style="59" hidden="1"/>
    <col min="7681" max="7681" width="34.1796875" style="59" customWidth="1"/>
    <col min="7682" max="7682" width="28.6328125" style="59" customWidth="1"/>
    <col min="7683" max="7683" width="32.1796875" style="59" customWidth="1"/>
    <col min="7684" max="7684" width="4" style="59" customWidth="1"/>
    <col min="7685" max="7686" width="17.453125" style="59" bestFit="1" customWidth="1"/>
    <col min="7687" max="7687" width="19.1796875" style="59" customWidth="1"/>
    <col min="7688" max="7934" width="9.1796875" style="59" customWidth="1"/>
    <col min="7935" max="7936" width="0" style="59" hidden="1"/>
    <col min="7937" max="7937" width="34.1796875" style="59" customWidth="1"/>
    <col min="7938" max="7938" width="28.6328125" style="59" customWidth="1"/>
    <col min="7939" max="7939" width="32.1796875" style="59" customWidth="1"/>
    <col min="7940" max="7940" width="4" style="59" customWidth="1"/>
    <col min="7941" max="7942" width="17.453125" style="59" bestFit="1" customWidth="1"/>
    <col min="7943" max="7943" width="19.1796875" style="59" customWidth="1"/>
    <col min="7944" max="8190" width="9.1796875" style="59" customWidth="1"/>
    <col min="8191" max="8192" width="0" style="59" hidden="1"/>
    <col min="8193" max="8193" width="34.1796875" style="59" customWidth="1"/>
    <col min="8194" max="8194" width="28.6328125" style="59" customWidth="1"/>
    <col min="8195" max="8195" width="32.1796875" style="59" customWidth="1"/>
    <col min="8196" max="8196" width="4" style="59" customWidth="1"/>
    <col min="8197" max="8198" width="17.453125" style="59" bestFit="1" customWidth="1"/>
    <col min="8199" max="8199" width="19.1796875" style="59" customWidth="1"/>
    <col min="8200" max="8446" width="9.1796875" style="59" customWidth="1"/>
    <col min="8447" max="8448" width="0" style="59" hidden="1"/>
    <col min="8449" max="8449" width="34.1796875" style="59" customWidth="1"/>
    <col min="8450" max="8450" width="28.6328125" style="59" customWidth="1"/>
    <col min="8451" max="8451" width="32.1796875" style="59" customWidth="1"/>
    <col min="8452" max="8452" width="4" style="59" customWidth="1"/>
    <col min="8453" max="8454" width="17.453125" style="59" bestFit="1" customWidth="1"/>
    <col min="8455" max="8455" width="19.1796875" style="59" customWidth="1"/>
    <col min="8456" max="8702" width="9.1796875" style="59" customWidth="1"/>
    <col min="8703" max="8704" width="0" style="59" hidden="1"/>
    <col min="8705" max="8705" width="34.1796875" style="59" customWidth="1"/>
    <col min="8706" max="8706" width="28.6328125" style="59" customWidth="1"/>
    <col min="8707" max="8707" width="32.1796875" style="59" customWidth="1"/>
    <col min="8708" max="8708" width="4" style="59" customWidth="1"/>
    <col min="8709" max="8710" width="17.453125" style="59" bestFit="1" customWidth="1"/>
    <col min="8711" max="8711" width="19.1796875" style="59" customWidth="1"/>
    <col min="8712" max="8958" width="9.1796875" style="59" customWidth="1"/>
    <col min="8959" max="8960" width="0" style="59" hidden="1"/>
    <col min="8961" max="8961" width="34.1796875" style="59" customWidth="1"/>
    <col min="8962" max="8962" width="28.6328125" style="59" customWidth="1"/>
    <col min="8963" max="8963" width="32.1796875" style="59" customWidth="1"/>
    <col min="8964" max="8964" width="4" style="59" customWidth="1"/>
    <col min="8965" max="8966" width="17.453125" style="59" bestFit="1" customWidth="1"/>
    <col min="8967" max="8967" width="19.1796875" style="59" customWidth="1"/>
    <col min="8968" max="9214" width="9.1796875" style="59" customWidth="1"/>
    <col min="9215" max="9216" width="0" style="59" hidden="1"/>
    <col min="9217" max="9217" width="34.1796875" style="59" customWidth="1"/>
    <col min="9218" max="9218" width="28.6328125" style="59" customWidth="1"/>
    <col min="9219" max="9219" width="32.1796875" style="59" customWidth="1"/>
    <col min="9220" max="9220" width="4" style="59" customWidth="1"/>
    <col min="9221" max="9222" width="17.453125" style="59" bestFit="1" customWidth="1"/>
    <col min="9223" max="9223" width="19.1796875" style="59" customWidth="1"/>
    <col min="9224" max="9470" width="9.1796875" style="59" customWidth="1"/>
    <col min="9471" max="9472" width="0" style="59" hidden="1"/>
    <col min="9473" max="9473" width="34.1796875" style="59" customWidth="1"/>
    <col min="9474" max="9474" width="28.6328125" style="59" customWidth="1"/>
    <col min="9475" max="9475" width="32.1796875" style="59" customWidth="1"/>
    <col min="9476" max="9476" width="4" style="59" customWidth="1"/>
    <col min="9477" max="9478" width="17.453125" style="59" bestFit="1" customWidth="1"/>
    <col min="9479" max="9479" width="19.1796875" style="59" customWidth="1"/>
    <col min="9480" max="9726" width="9.1796875" style="59" customWidth="1"/>
    <col min="9727" max="9728" width="0" style="59" hidden="1"/>
    <col min="9729" max="9729" width="34.1796875" style="59" customWidth="1"/>
    <col min="9730" max="9730" width="28.6328125" style="59" customWidth="1"/>
    <col min="9731" max="9731" width="32.1796875" style="59" customWidth="1"/>
    <col min="9732" max="9732" width="4" style="59" customWidth="1"/>
    <col min="9733" max="9734" width="17.453125" style="59" bestFit="1" customWidth="1"/>
    <col min="9735" max="9735" width="19.1796875" style="59" customWidth="1"/>
    <col min="9736" max="9982" width="9.1796875" style="59" customWidth="1"/>
    <col min="9983" max="9984" width="0" style="59" hidden="1"/>
    <col min="9985" max="9985" width="34.1796875" style="59" customWidth="1"/>
    <col min="9986" max="9986" width="28.6328125" style="59" customWidth="1"/>
    <col min="9987" max="9987" width="32.1796875" style="59" customWidth="1"/>
    <col min="9988" max="9988" width="4" style="59" customWidth="1"/>
    <col min="9989" max="9990" width="17.453125" style="59" bestFit="1" customWidth="1"/>
    <col min="9991" max="9991" width="19.1796875" style="59" customWidth="1"/>
    <col min="9992" max="10238" width="9.1796875" style="59" customWidth="1"/>
    <col min="10239" max="10240" width="0" style="59" hidden="1"/>
    <col min="10241" max="10241" width="34.1796875" style="59" customWidth="1"/>
    <col min="10242" max="10242" width="28.6328125" style="59" customWidth="1"/>
    <col min="10243" max="10243" width="32.1796875" style="59" customWidth="1"/>
    <col min="10244" max="10244" width="4" style="59" customWidth="1"/>
    <col min="10245" max="10246" width="17.453125" style="59" bestFit="1" customWidth="1"/>
    <col min="10247" max="10247" width="19.1796875" style="59" customWidth="1"/>
    <col min="10248" max="10494" width="9.1796875" style="59" customWidth="1"/>
    <col min="10495" max="10496" width="0" style="59" hidden="1"/>
    <col min="10497" max="10497" width="34.1796875" style="59" customWidth="1"/>
    <col min="10498" max="10498" width="28.6328125" style="59" customWidth="1"/>
    <col min="10499" max="10499" width="32.1796875" style="59" customWidth="1"/>
    <col min="10500" max="10500" width="4" style="59" customWidth="1"/>
    <col min="10501" max="10502" width="17.453125" style="59" bestFit="1" customWidth="1"/>
    <col min="10503" max="10503" width="19.1796875" style="59" customWidth="1"/>
    <col min="10504" max="10750" width="9.1796875" style="59" customWidth="1"/>
    <col min="10751" max="10752" width="0" style="59" hidden="1"/>
    <col min="10753" max="10753" width="34.1796875" style="59" customWidth="1"/>
    <col min="10754" max="10754" width="28.6328125" style="59" customWidth="1"/>
    <col min="10755" max="10755" width="32.1796875" style="59" customWidth="1"/>
    <col min="10756" max="10756" width="4" style="59" customWidth="1"/>
    <col min="10757" max="10758" width="17.453125" style="59" bestFit="1" customWidth="1"/>
    <col min="10759" max="10759" width="19.1796875" style="59" customWidth="1"/>
    <col min="10760" max="11006" width="9.1796875" style="59" customWidth="1"/>
    <col min="11007" max="11008" width="0" style="59" hidden="1"/>
    <col min="11009" max="11009" width="34.1796875" style="59" customWidth="1"/>
    <col min="11010" max="11010" width="28.6328125" style="59" customWidth="1"/>
    <col min="11011" max="11011" width="32.1796875" style="59" customWidth="1"/>
    <col min="11012" max="11012" width="4" style="59" customWidth="1"/>
    <col min="11013" max="11014" width="17.453125" style="59" bestFit="1" customWidth="1"/>
    <col min="11015" max="11015" width="19.1796875" style="59" customWidth="1"/>
    <col min="11016" max="11262" width="9.1796875" style="59" customWidth="1"/>
    <col min="11263" max="11264" width="0" style="59" hidden="1"/>
    <col min="11265" max="11265" width="34.1796875" style="59" customWidth="1"/>
    <col min="11266" max="11266" width="28.6328125" style="59" customWidth="1"/>
    <col min="11267" max="11267" width="32.1796875" style="59" customWidth="1"/>
    <col min="11268" max="11268" width="4" style="59" customWidth="1"/>
    <col min="11269" max="11270" width="17.453125" style="59" bestFit="1" customWidth="1"/>
    <col min="11271" max="11271" width="19.1796875" style="59" customWidth="1"/>
    <col min="11272" max="11518" width="9.1796875" style="59" customWidth="1"/>
    <col min="11519" max="11520" width="0" style="59" hidden="1"/>
    <col min="11521" max="11521" width="34.1796875" style="59" customWidth="1"/>
    <col min="11522" max="11522" width="28.6328125" style="59" customWidth="1"/>
    <col min="11523" max="11523" width="32.1796875" style="59" customWidth="1"/>
    <col min="11524" max="11524" width="4" style="59" customWidth="1"/>
    <col min="11525" max="11526" width="17.453125" style="59" bestFit="1" customWidth="1"/>
    <col min="11527" max="11527" width="19.1796875" style="59" customWidth="1"/>
    <col min="11528" max="11774" width="9.1796875" style="59" customWidth="1"/>
    <col min="11775" max="11776" width="0" style="59" hidden="1"/>
    <col min="11777" max="11777" width="34.1796875" style="59" customWidth="1"/>
    <col min="11778" max="11778" width="28.6328125" style="59" customWidth="1"/>
    <col min="11779" max="11779" width="32.1796875" style="59" customWidth="1"/>
    <col min="11780" max="11780" width="4" style="59" customWidth="1"/>
    <col min="11781" max="11782" width="17.453125" style="59" bestFit="1" customWidth="1"/>
    <col min="11783" max="11783" width="19.1796875" style="59" customWidth="1"/>
    <col min="11784" max="12030" width="9.1796875" style="59" customWidth="1"/>
    <col min="12031" max="12032" width="0" style="59" hidden="1"/>
    <col min="12033" max="12033" width="34.1796875" style="59" customWidth="1"/>
    <col min="12034" max="12034" width="28.6328125" style="59" customWidth="1"/>
    <col min="12035" max="12035" width="32.1796875" style="59" customWidth="1"/>
    <col min="12036" max="12036" width="4" style="59" customWidth="1"/>
    <col min="12037" max="12038" width="17.453125" style="59" bestFit="1" customWidth="1"/>
    <col min="12039" max="12039" width="19.1796875" style="59" customWidth="1"/>
    <col min="12040" max="12286" width="9.1796875" style="59" customWidth="1"/>
    <col min="12287" max="12288" width="0" style="59" hidden="1"/>
    <col min="12289" max="12289" width="34.1796875" style="59" customWidth="1"/>
    <col min="12290" max="12290" width="28.6328125" style="59" customWidth="1"/>
    <col min="12291" max="12291" width="32.1796875" style="59" customWidth="1"/>
    <col min="12292" max="12292" width="4" style="59" customWidth="1"/>
    <col min="12293" max="12294" width="17.453125" style="59" bestFit="1" customWidth="1"/>
    <col min="12295" max="12295" width="19.1796875" style="59" customWidth="1"/>
    <col min="12296" max="12542" width="9.1796875" style="59" customWidth="1"/>
    <col min="12543" max="12544" width="0" style="59" hidden="1"/>
    <col min="12545" max="12545" width="34.1796875" style="59" customWidth="1"/>
    <col min="12546" max="12546" width="28.6328125" style="59" customWidth="1"/>
    <col min="12547" max="12547" width="32.1796875" style="59" customWidth="1"/>
    <col min="12548" max="12548" width="4" style="59" customWidth="1"/>
    <col min="12549" max="12550" width="17.453125" style="59" bestFit="1" customWidth="1"/>
    <col min="12551" max="12551" width="19.1796875" style="59" customWidth="1"/>
    <col min="12552" max="12798" width="9.1796875" style="59" customWidth="1"/>
    <col min="12799" max="12800" width="0" style="59" hidden="1"/>
    <col min="12801" max="12801" width="34.1796875" style="59" customWidth="1"/>
    <col min="12802" max="12802" width="28.6328125" style="59" customWidth="1"/>
    <col min="12803" max="12803" width="32.1796875" style="59" customWidth="1"/>
    <col min="12804" max="12804" width="4" style="59" customWidth="1"/>
    <col min="12805" max="12806" width="17.453125" style="59" bestFit="1" customWidth="1"/>
    <col min="12807" max="12807" width="19.1796875" style="59" customWidth="1"/>
    <col min="12808" max="13054" width="9.1796875" style="59" customWidth="1"/>
    <col min="13055" max="13056" width="0" style="59" hidden="1"/>
    <col min="13057" max="13057" width="34.1796875" style="59" customWidth="1"/>
    <col min="13058" max="13058" width="28.6328125" style="59" customWidth="1"/>
    <col min="13059" max="13059" width="32.1796875" style="59" customWidth="1"/>
    <col min="13060" max="13060" width="4" style="59" customWidth="1"/>
    <col min="13061" max="13062" width="17.453125" style="59" bestFit="1" customWidth="1"/>
    <col min="13063" max="13063" width="19.1796875" style="59" customWidth="1"/>
    <col min="13064" max="13310" width="9.1796875" style="59" customWidth="1"/>
    <col min="13311" max="13312" width="0" style="59" hidden="1"/>
    <col min="13313" max="13313" width="34.1796875" style="59" customWidth="1"/>
    <col min="13314" max="13314" width="28.6328125" style="59" customWidth="1"/>
    <col min="13315" max="13315" width="32.1796875" style="59" customWidth="1"/>
    <col min="13316" max="13316" width="4" style="59" customWidth="1"/>
    <col min="13317" max="13318" width="17.453125" style="59" bestFit="1" customWidth="1"/>
    <col min="13319" max="13319" width="19.1796875" style="59" customWidth="1"/>
    <col min="13320" max="13566" width="9.1796875" style="59" customWidth="1"/>
    <col min="13567" max="13568" width="0" style="59" hidden="1"/>
    <col min="13569" max="13569" width="34.1796875" style="59" customWidth="1"/>
    <col min="13570" max="13570" width="28.6328125" style="59" customWidth="1"/>
    <col min="13571" max="13571" width="32.1796875" style="59" customWidth="1"/>
    <col min="13572" max="13572" width="4" style="59" customWidth="1"/>
    <col min="13573" max="13574" width="17.453125" style="59" bestFit="1" customWidth="1"/>
    <col min="13575" max="13575" width="19.1796875" style="59" customWidth="1"/>
    <col min="13576" max="13822" width="9.1796875" style="59" customWidth="1"/>
    <col min="13823" max="13824" width="0" style="59" hidden="1"/>
    <col min="13825" max="13825" width="34.1796875" style="59" customWidth="1"/>
    <col min="13826" max="13826" width="28.6328125" style="59" customWidth="1"/>
    <col min="13827" max="13827" width="32.1796875" style="59" customWidth="1"/>
    <col min="13828" max="13828" width="4" style="59" customWidth="1"/>
    <col min="13829" max="13830" width="17.453125" style="59" bestFit="1" customWidth="1"/>
    <col min="13831" max="13831" width="19.1796875" style="59" customWidth="1"/>
    <col min="13832" max="14078" width="9.1796875" style="59" customWidth="1"/>
    <col min="14079" max="14080" width="0" style="59" hidden="1"/>
    <col min="14081" max="14081" width="34.1796875" style="59" customWidth="1"/>
    <col min="14082" max="14082" width="28.6328125" style="59" customWidth="1"/>
    <col min="14083" max="14083" width="32.1796875" style="59" customWidth="1"/>
    <col min="14084" max="14084" width="4" style="59" customWidth="1"/>
    <col min="14085" max="14086" width="17.453125" style="59" bestFit="1" customWidth="1"/>
    <col min="14087" max="14087" width="19.1796875" style="59" customWidth="1"/>
    <col min="14088" max="14334" width="9.1796875" style="59" customWidth="1"/>
    <col min="14335" max="14336" width="0" style="59" hidden="1"/>
    <col min="14337" max="14337" width="34.1796875" style="59" customWidth="1"/>
    <col min="14338" max="14338" width="28.6328125" style="59" customWidth="1"/>
    <col min="14339" max="14339" width="32.1796875" style="59" customWidth="1"/>
    <col min="14340" max="14340" width="4" style="59" customWidth="1"/>
    <col min="14341" max="14342" width="17.453125" style="59" bestFit="1" customWidth="1"/>
    <col min="14343" max="14343" width="19.1796875" style="59" customWidth="1"/>
    <col min="14344" max="14590" width="9.1796875" style="59" customWidth="1"/>
    <col min="14591" max="14592" width="0" style="59" hidden="1"/>
    <col min="14593" max="14593" width="34.1796875" style="59" customWidth="1"/>
    <col min="14594" max="14594" width="28.6328125" style="59" customWidth="1"/>
    <col min="14595" max="14595" width="32.1796875" style="59" customWidth="1"/>
    <col min="14596" max="14596" width="4" style="59" customWidth="1"/>
    <col min="14597" max="14598" width="17.453125" style="59" bestFit="1" customWidth="1"/>
    <col min="14599" max="14599" width="19.1796875" style="59" customWidth="1"/>
    <col min="14600" max="14846" width="9.1796875" style="59" customWidth="1"/>
    <col min="14847" max="14848" width="0" style="59" hidden="1"/>
    <col min="14849" max="14849" width="34.1796875" style="59" customWidth="1"/>
    <col min="14850" max="14850" width="28.6328125" style="59" customWidth="1"/>
    <col min="14851" max="14851" width="32.1796875" style="59" customWidth="1"/>
    <col min="14852" max="14852" width="4" style="59" customWidth="1"/>
    <col min="14853" max="14854" width="17.453125" style="59" bestFit="1" customWidth="1"/>
    <col min="14855" max="14855" width="19.1796875" style="59" customWidth="1"/>
    <col min="14856" max="15102" width="9.1796875" style="59" customWidth="1"/>
    <col min="15103" max="15104" width="0" style="59" hidden="1"/>
    <col min="15105" max="15105" width="34.1796875" style="59" customWidth="1"/>
    <col min="15106" max="15106" width="28.6328125" style="59" customWidth="1"/>
    <col min="15107" max="15107" width="32.1796875" style="59" customWidth="1"/>
    <col min="15108" max="15108" width="4" style="59" customWidth="1"/>
    <col min="15109" max="15110" width="17.453125" style="59" bestFit="1" customWidth="1"/>
    <col min="15111" max="15111" width="19.1796875" style="59" customWidth="1"/>
    <col min="15112" max="15358" width="9.1796875" style="59" customWidth="1"/>
    <col min="15359" max="15360" width="0" style="59" hidden="1"/>
    <col min="15361" max="15361" width="34.1796875" style="59" customWidth="1"/>
    <col min="15362" max="15362" width="28.6328125" style="59" customWidth="1"/>
    <col min="15363" max="15363" width="32.1796875" style="59" customWidth="1"/>
    <col min="15364" max="15364" width="4" style="59" customWidth="1"/>
    <col min="15365" max="15366" width="17.453125" style="59" bestFit="1" customWidth="1"/>
    <col min="15367" max="15367" width="19.1796875" style="59" customWidth="1"/>
    <col min="15368" max="15614" width="9.1796875" style="59" customWidth="1"/>
    <col min="15615" max="15616" width="0" style="59" hidden="1"/>
    <col min="15617" max="15617" width="34.1796875" style="59" customWidth="1"/>
    <col min="15618" max="15618" width="28.6328125" style="59" customWidth="1"/>
    <col min="15619" max="15619" width="32.1796875" style="59" customWidth="1"/>
    <col min="15620" max="15620" width="4" style="59" customWidth="1"/>
    <col min="15621" max="15622" width="17.453125" style="59" bestFit="1" customWidth="1"/>
    <col min="15623" max="15623" width="19.1796875" style="59" customWidth="1"/>
    <col min="15624" max="15870" width="9.1796875" style="59" customWidth="1"/>
    <col min="15871" max="15872" width="0" style="59" hidden="1"/>
    <col min="15873" max="15873" width="34.1796875" style="59" customWidth="1"/>
    <col min="15874" max="15874" width="28.6328125" style="59" customWidth="1"/>
    <col min="15875" max="15875" width="32.1796875" style="59" customWidth="1"/>
    <col min="15876" max="15876" width="4" style="59" customWidth="1"/>
    <col min="15877" max="15878" width="17.453125" style="59" bestFit="1" customWidth="1"/>
    <col min="15879" max="15879" width="19.1796875" style="59" customWidth="1"/>
    <col min="15880" max="16126" width="9.1796875" style="59" customWidth="1"/>
    <col min="16127" max="16128" width="0" style="59" hidden="1"/>
    <col min="16129" max="16129" width="34.1796875" style="59" customWidth="1"/>
    <col min="16130" max="16130" width="28.6328125" style="59" customWidth="1"/>
    <col min="16131" max="16131" width="32.1796875" style="59" customWidth="1"/>
    <col min="16132" max="16132" width="4" style="59" customWidth="1"/>
    <col min="16133" max="16134" width="17.453125" style="59" bestFit="1" customWidth="1"/>
    <col min="16135" max="16135" width="19.1796875" style="59" customWidth="1"/>
    <col min="16136" max="16382" width="9.1796875" style="59" customWidth="1"/>
    <col min="16383" max="16384" width="0" style="59" hidden="1"/>
  </cols>
  <sheetData>
    <row r="1" spans="1:10" s="39" customFormat="1" ht="16" thickTop="1">
      <c r="A1" s="208" t="s">
        <v>59</v>
      </c>
      <c r="B1" s="209"/>
      <c r="C1" s="209"/>
      <c r="D1" s="209"/>
      <c r="E1" s="209"/>
      <c r="F1" s="209"/>
      <c r="G1" s="209"/>
      <c r="H1" s="209"/>
      <c r="I1" s="209"/>
      <c r="J1" s="210"/>
    </row>
    <row r="2" spans="1:10" s="39" customFormat="1" ht="15.5">
      <c r="A2" s="211"/>
      <c r="B2" s="212"/>
      <c r="C2" s="212"/>
      <c r="D2" s="212"/>
      <c r="E2" s="212"/>
      <c r="F2" s="212"/>
      <c r="G2" s="212"/>
      <c r="H2" s="212"/>
      <c r="I2" s="212"/>
      <c r="J2" s="213"/>
    </row>
    <row r="3" spans="1:10" s="39" customFormat="1" ht="15.5">
      <c r="A3" s="211"/>
      <c r="B3" s="212"/>
      <c r="C3" s="212"/>
      <c r="D3" s="212"/>
      <c r="E3" s="212"/>
      <c r="F3" s="212"/>
      <c r="G3" s="212"/>
      <c r="H3" s="212"/>
      <c r="I3" s="212"/>
      <c r="J3" s="213"/>
    </row>
    <row r="4" spans="1:10" s="39" customFormat="1" ht="15.5">
      <c r="A4" s="211"/>
      <c r="B4" s="212"/>
      <c r="C4" s="212"/>
      <c r="D4" s="212"/>
      <c r="E4" s="212"/>
      <c r="F4" s="212"/>
      <c r="G4" s="212"/>
      <c r="H4" s="212"/>
      <c r="I4" s="212"/>
      <c r="J4" s="213"/>
    </row>
    <row r="5" spans="1:10" s="39" customFormat="1" ht="15.5">
      <c r="A5" s="211"/>
      <c r="B5" s="212"/>
      <c r="C5" s="212"/>
      <c r="D5" s="212"/>
      <c r="E5" s="212"/>
      <c r="F5" s="212"/>
      <c r="G5" s="212"/>
      <c r="H5" s="212"/>
      <c r="I5" s="212"/>
      <c r="J5" s="213"/>
    </row>
    <row r="6" spans="1:10" s="39" customFormat="1" ht="15.5">
      <c r="A6" s="40"/>
      <c r="B6" s="41"/>
      <c r="C6" s="41"/>
      <c r="D6" s="41"/>
      <c r="E6" s="41"/>
      <c r="F6" s="41"/>
      <c r="G6" s="41"/>
      <c r="H6" s="41"/>
      <c r="I6" s="41"/>
      <c r="J6" s="42"/>
    </row>
    <row r="7" spans="1:10" s="39" customFormat="1" ht="16" thickBot="1">
      <c r="A7" s="43"/>
      <c r="B7" s="44"/>
      <c r="C7" s="44"/>
      <c r="D7" s="44"/>
      <c r="E7" s="44"/>
      <c r="F7" s="44"/>
      <c r="G7" s="44"/>
      <c r="H7" s="44"/>
      <c r="I7" s="44"/>
      <c r="J7" s="45"/>
    </row>
    <row r="8" spans="1:10" s="39" customFormat="1" ht="16" thickTop="1">
      <c r="A8" s="46"/>
      <c r="B8" s="47"/>
      <c r="C8" s="47"/>
      <c r="D8" s="47"/>
      <c r="E8" s="47"/>
      <c r="F8" s="47"/>
      <c r="G8" s="47"/>
      <c r="H8" s="47"/>
      <c r="I8" s="47"/>
      <c r="J8" s="48"/>
    </row>
    <row r="9" spans="1:10" s="39" customFormat="1" ht="15.5">
      <c r="A9" s="214" t="s">
        <v>60</v>
      </c>
      <c r="B9" s="215"/>
      <c r="C9" s="215"/>
      <c r="D9" s="215"/>
      <c r="E9" s="215"/>
      <c r="F9" s="215"/>
      <c r="G9" s="215"/>
      <c r="H9" s="215"/>
      <c r="I9" s="215"/>
      <c r="J9" s="216"/>
    </row>
    <row r="10" spans="1:10" s="39" customFormat="1" ht="25.5" customHeight="1">
      <c r="A10" s="217" t="s">
        <v>304</v>
      </c>
      <c r="B10" s="218"/>
      <c r="C10" s="218"/>
      <c r="D10" s="218"/>
      <c r="E10" s="218"/>
      <c r="F10" s="218"/>
      <c r="G10" s="218"/>
      <c r="H10" s="218"/>
      <c r="I10" s="218"/>
      <c r="J10" s="219"/>
    </row>
    <row r="11" spans="1:10" s="39" customFormat="1" ht="27.75" customHeight="1">
      <c r="A11" s="217"/>
      <c r="B11" s="218"/>
      <c r="C11" s="218"/>
      <c r="D11" s="218"/>
      <c r="E11" s="218"/>
      <c r="F11" s="218"/>
      <c r="G11" s="218"/>
      <c r="H11" s="218"/>
      <c r="I11" s="218"/>
      <c r="J11" s="219"/>
    </row>
    <row r="12" spans="1:10" s="39" customFormat="1" ht="16" thickBot="1">
      <c r="A12" s="49"/>
      <c r="B12" s="50"/>
      <c r="C12" s="50"/>
      <c r="D12" s="50"/>
      <c r="E12" s="50"/>
      <c r="F12" s="50"/>
      <c r="G12" s="50"/>
      <c r="H12" s="50"/>
      <c r="I12" s="50"/>
      <c r="J12" s="51"/>
    </row>
    <row r="13" spans="1:10" s="39" customFormat="1" ht="16" thickTop="1">
      <c r="A13" s="52"/>
      <c r="B13" s="53"/>
      <c r="C13" s="53"/>
      <c r="D13" s="53"/>
      <c r="E13" s="53"/>
      <c r="F13" s="53"/>
      <c r="G13" s="53"/>
      <c r="H13" s="53"/>
      <c r="I13" s="53"/>
      <c r="J13" s="54"/>
    </row>
    <row r="14" spans="1:10" s="39" customFormat="1" ht="15.5">
      <c r="A14" s="214" t="s">
        <v>61</v>
      </c>
      <c r="B14" s="215"/>
      <c r="C14" s="215"/>
      <c r="D14" s="215"/>
      <c r="E14" s="215"/>
      <c r="F14" s="215"/>
      <c r="G14" s="215"/>
      <c r="H14" s="215"/>
      <c r="I14" s="215"/>
      <c r="J14" s="216"/>
    </row>
    <row r="15" spans="1:10" s="39" customFormat="1" ht="26">
      <c r="A15" s="205" t="s">
        <v>101</v>
      </c>
      <c r="B15" s="206"/>
      <c r="C15" s="206"/>
      <c r="D15" s="206"/>
      <c r="E15" s="206"/>
      <c r="F15" s="206"/>
      <c r="G15" s="206"/>
      <c r="H15" s="206"/>
      <c r="I15" s="206"/>
      <c r="J15" s="207"/>
    </row>
    <row r="16" spans="1:10" s="55" customFormat="1" ht="15.5">
      <c r="A16" s="214" t="s">
        <v>63</v>
      </c>
      <c r="B16" s="215"/>
      <c r="C16" s="215"/>
      <c r="D16" s="215"/>
      <c r="E16" s="215"/>
      <c r="F16" s="215"/>
      <c r="G16" s="215"/>
      <c r="H16" s="215"/>
      <c r="I16" s="215"/>
      <c r="J16" s="216"/>
    </row>
    <row r="17" spans="1:10" s="39" customFormat="1" ht="26">
      <c r="A17" s="205" t="s">
        <v>53</v>
      </c>
      <c r="B17" s="206"/>
      <c r="C17" s="206"/>
      <c r="D17" s="206"/>
      <c r="E17" s="206"/>
      <c r="F17" s="206"/>
      <c r="G17" s="206"/>
      <c r="H17" s="206"/>
      <c r="I17" s="206"/>
      <c r="J17" s="207"/>
    </row>
    <row r="18" spans="1:10" s="39" customFormat="1" ht="16" thickBot="1">
      <c r="A18" s="56"/>
      <c r="B18" s="57"/>
      <c r="C18" s="57"/>
      <c r="D18" s="57"/>
      <c r="E18" s="57"/>
      <c r="F18" s="57"/>
      <c r="G18" s="57"/>
      <c r="H18" s="57"/>
      <c r="I18" s="57"/>
      <c r="J18" s="58"/>
    </row>
    <row r="19" spans="1:10" s="39" customFormat="1" ht="16" thickTop="1">
      <c r="A19" s="193"/>
      <c r="B19" s="194"/>
      <c r="C19" s="194"/>
      <c r="D19" s="194"/>
      <c r="E19" s="194"/>
      <c r="F19" s="194"/>
      <c r="G19" s="194"/>
      <c r="H19" s="194"/>
      <c r="I19" s="194"/>
      <c r="J19" s="194"/>
    </row>
    <row r="20" spans="1:10" s="39" customFormat="1" ht="15.5">
      <c r="A20" s="195"/>
      <c r="B20" s="196"/>
      <c r="C20" s="196"/>
      <c r="D20" s="196"/>
      <c r="E20" s="196"/>
      <c r="F20" s="196"/>
      <c r="G20" s="196"/>
      <c r="H20" s="196"/>
      <c r="I20" s="196"/>
      <c r="J20" s="196"/>
    </row>
    <row r="21" spans="1:10" s="39" customFormat="1" ht="15.5">
      <c r="A21" s="195"/>
      <c r="B21" s="196"/>
      <c r="C21" s="196"/>
      <c r="D21" s="196"/>
      <c r="E21" s="196"/>
      <c r="F21" s="196"/>
      <c r="G21" s="196"/>
      <c r="H21" s="196"/>
      <c r="I21" s="196"/>
      <c r="J21" s="196"/>
    </row>
    <row r="22" spans="1:10" s="39" customFormat="1" ht="15.5">
      <c r="A22" s="195"/>
      <c r="B22" s="196"/>
      <c r="C22" s="196"/>
      <c r="D22" s="196"/>
      <c r="E22" s="196"/>
      <c r="F22" s="196"/>
      <c r="G22" s="196"/>
      <c r="H22" s="196"/>
      <c r="I22" s="196"/>
      <c r="J22" s="196"/>
    </row>
    <row r="23" spans="1:10" s="39" customFormat="1" ht="15.5">
      <c r="A23" s="195"/>
      <c r="B23" s="196"/>
      <c r="C23" s="196"/>
      <c r="D23" s="196"/>
      <c r="E23" s="196"/>
      <c r="F23" s="196"/>
      <c r="G23" s="196"/>
      <c r="H23" s="196"/>
      <c r="I23" s="196"/>
      <c r="J23" s="196"/>
    </row>
    <row r="24" spans="1:10" s="39" customFormat="1" ht="15.5">
      <c r="A24" s="195"/>
      <c r="B24" s="196"/>
      <c r="C24" s="196"/>
      <c r="D24" s="196"/>
      <c r="E24" s="196"/>
      <c r="F24" s="196"/>
      <c r="G24" s="196"/>
      <c r="H24" s="196"/>
      <c r="I24" s="196"/>
      <c r="J24" s="196"/>
    </row>
    <row r="25" spans="1:10" s="39" customFormat="1" ht="15.5">
      <c r="A25" s="195"/>
      <c r="B25" s="196"/>
      <c r="C25" s="196"/>
      <c r="D25" s="196"/>
      <c r="E25" s="196"/>
      <c r="F25" s="196"/>
      <c r="G25" s="196"/>
      <c r="H25" s="196"/>
      <c r="I25" s="196"/>
      <c r="J25" s="196"/>
    </row>
    <row r="26" spans="1:10" s="39" customFormat="1" ht="23.25" customHeight="1">
      <c r="A26" s="195"/>
      <c r="B26" s="196"/>
      <c r="C26" s="196"/>
      <c r="D26" s="196"/>
      <c r="E26" s="196"/>
      <c r="F26" s="196"/>
      <c r="G26" s="196"/>
      <c r="H26" s="196"/>
      <c r="I26" s="196"/>
      <c r="J26" s="196"/>
    </row>
    <row r="27" spans="1:10" s="39" customFormat="1" ht="23.25" customHeight="1">
      <c r="A27" s="195"/>
      <c r="B27" s="196"/>
      <c r="C27" s="196"/>
      <c r="D27" s="196"/>
      <c r="E27" s="196"/>
      <c r="F27" s="196"/>
      <c r="G27" s="196"/>
      <c r="H27" s="196"/>
      <c r="I27" s="196"/>
      <c r="J27" s="196"/>
    </row>
    <row r="28" spans="1:10" s="39" customFormat="1" ht="23.25" customHeight="1">
      <c r="A28" s="195"/>
      <c r="B28" s="196"/>
      <c r="C28" s="196"/>
      <c r="D28" s="196"/>
      <c r="E28" s="196"/>
      <c r="F28" s="196"/>
      <c r="G28" s="196"/>
      <c r="H28" s="196"/>
      <c r="I28" s="196"/>
      <c r="J28" s="196"/>
    </row>
    <row r="29" spans="1:10" s="39" customFormat="1" ht="23.25" customHeight="1">
      <c r="A29" s="195"/>
      <c r="B29" s="196"/>
      <c r="C29" s="196"/>
      <c r="D29" s="196"/>
      <c r="E29" s="196"/>
      <c r="F29" s="196"/>
      <c r="G29" s="196"/>
      <c r="H29" s="196"/>
      <c r="I29" s="196"/>
      <c r="J29" s="196"/>
    </row>
    <row r="30" spans="1:10" s="39" customFormat="1" ht="23.25" customHeight="1">
      <c r="A30" s="195"/>
      <c r="B30" s="196"/>
      <c r="C30" s="196"/>
      <c r="D30" s="196"/>
      <c r="E30" s="196"/>
      <c r="F30" s="196"/>
      <c r="G30" s="196"/>
      <c r="H30" s="196"/>
      <c r="I30" s="196"/>
      <c r="J30" s="196"/>
    </row>
    <row r="31" spans="1:10" ht="23.25" customHeight="1">
      <c r="A31" s="195"/>
      <c r="B31" s="196"/>
      <c r="C31" s="196"/>
      <c r="D31" s="196"/>
      <c r="E31" s="196"/>
      <c r="F31" s="196"/>
      <c r="G31" s="196"/>
      <c r="H31" s="196"/>
      <c r="I31" s="196"/>
      <c r="J31" s="196"/>
    </row>
    <row r="32" spans="1:10" ht="23.25" customHeight="1">
      <c r="A32" s="195"/>
      <c r="B32" s="196"/>
      <c r="C32" s="196"/>
      <c r="D32" s="196"/>
      <c r="E32" s="196"/>
      <c r="F32" s="196"/>
      <c r="G32" s="196"/>
      <c r="H32" s="196"/>
      <c r="I32" s="196"/>
      <c r="J32" s="196"/>
    </row>
    <row r="33" spans="1:10" ht="23.25" customHeight="1">
      <c r="A33" s="195"/>
      <c r="B33" s="196"/>
      <c r="C33" s="196"/>
      <c r="D33" s="196"/>
      <c r="E33" s="196"/>
      <c r="F33" s="196"/>
      <c r="G33" s="196"/>
      <c r="H33" s="196"/>
      <c r="I33" s="196"/>
      <c r="J33" s="196"/>
    </row>
    <row r="34" spans="1:10" ht="15" customHeight="1">
      <c r="A34" s="195"/>
      <c r="B34" s="196"/>
      <c r="C34" s="196"/>
      <c r="D34" s="196"/>
      <c r="E34" s="196"/>
      <c r="F34" s="196"/>
      <c r="G34" s="196"/>
      <c r="H34" s="196"/>
      <c r="I34" s="196"/>
      <c r="J34" s="196"/>
    </row>
    <row r="35" spans="1:10" ht="15" customHeight="1">
      <c r="A35" s="195"/>
      <c r="B35" s="196"/>
      <c r="C35" s="196"/>
      <c r="D35" s="196"/>
      <c r="E35" s="196"/>
      <c r="F35" s="196"/>
      <c r="G35" s="196"/>
      <c r="H35" s="196"/>
      <c r="I35" s="196"/>
      <c r="J35" s="196"/>
    </row>
    <row r="36" spans="1:10" ht="15.75" customHeight="1">
      <c r="A36" s="195"/>
      <c r="B36" s="196"/>
      <c r="C36" s="196"/>
      <c r="D36" s="196"/>
      <c r="E36" s="196"/>
      <c r="F36" s="196"/>
      <c r="G36" s="196"/>
      <c r="H36" s="196"/>
      <c r="I36" s="196"/>
      <c r="J36" s="196"/>
    </row>
    <row r="37" spans="1:10" ht="15.75" customHeight="1">
      <c r="A37" s="195"/>
      <c r="B37" s="196"/>
      <c r="C37" s="196"/>
      <c r="D37" s="196"/>
      <c r="E37" s="196"/>
      <c r="F37" s="196"/>
      <c r="G37" s="196"/>
      <c r="H37" s="196"/>
      <c r="I37" s="196"/>
      <c r="J37" s="196"/>
    </row>
    <row r="38" spans="1:10" ht="16.5" customHeight="1" thickBot="1">
      <c r="A38" s="197"/>
      <c r="B38" s="198"/>
      <c r="C38" s="198"/>
      <c r="D38" s="198"/>
      <c r="E38" s="198"/>
      <c r="F38" s="198"/>
      <c r="G38" s="198"/>
      <c r="H38" s="198"/>
      <c r="I38" s="198"/>
      <c r="J38" s="198"/>
    </row>
    <row r="39" spans="1:10" ht="16" thickTop="1">
      <c r="A39" s="60"/>
      <c r="B39" s="61"/>
      <c r="C39" s="61"/>
      <c r="D39" s="61"/>
      <c r="E39" s="61"/>
      <c r="F39" s="61"/>
      <c r="G39" s="61"/>
      <c r="H39" s="61"/>
      <c r="I39" s="61"/>
      <c r="J39" s="62"/>
    </row>
    <row r="40" spans="1:10">
      <c r="A40" s="63"/>
      <c r="B40" s="64"/>
      <c r="C40" s="64"/>
      <c r="D40" s="64"/>
      <c r="E40" s="64"/>
      <c r="F40" s="64"/>
      <c r="G40" s="64"/>
      <c r="H40" s="64"/>
      <c r="I40" s="64"/>
      <c r="J40" s="65"/>
    </row>
    <row r="41" spans="1:10" ht="18">
      <c r="A41" s="199" t="s">
        <v>62</v>
      </c>
      <c r="B41" s="200"/>
      <c r="C41" s="200"/>
      <c r="D41" s="200"/>
      <c r="E41" s="200"/>
      <c r="F41" s="200"/>
      <c r="G41" s="200"/>
      <c r="H41" s="200"/>
      <c r="I41" s="200"/>
      <c r="J41" s="201"/>
    </row>
    <row r="42" spans="1:10" ht="18.5" thickBot="1">
      <c r="A42" s="202">
        <v>45524</v>
      </c>
      <c r="B42" s="203"/>
      <c r="C42" s="203"/>
      <c r="D42" s="203"/>
      <c r="E42" s="203"/>
      <c r="F42" s="203"/>
      <c r="G42" s="203"/>
      <c r="H42" s="203"/>
      <c r="I42" s="203"/>
      <c r="J42" s="204"/>
    </row>
    <row r="43" spans="1:10" ht="15" thickTop="1"/>
  </sheetData>
  <mergeCells count="10">
    <mergeCell ref="A19:J38"/>
    <mergeCell ref="A41:J41"/>
    <mergeCell ref="A42:J42"/>
    <mergeCell ref="A17:J17"/>
    <mergeCell ref="A1:J5"/>
    <mergeCell ref="A9:J9"/>
    <mergeCell ref="A10:J11"/>
    <mergeCell ref="A14:J14"/>
    <mergeCell ref="A15:J15"/>
    <mergeCell ref="A16:J16"/>
  </mergeCells>
  <pageMargins left="0.7" right="0.7" top="0.53" bottom="0.5" header="0.3" footer="0.3"/>
  <pageSetup scale="94" firstPageNumber="0" orientation="portrait" horizontalDpi="300" r:id="rId1"/>
  <headerFooter differentFirst="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0"/>
  <sheetViews>
    <sheetView workbookViewId="0">
      <selection activeCell="A13" sqref="A13"/>
    </sheetView>
  </sheetViews>
  <sheetFormatPr defaultColWidth="8" defaultRowHeight="15.5"/>
  <cols>
    <col min="1" max="1" width="109.453125" style="70" customWidth="1"/>
    <col min="2" max="5" width="1" style="68" customWidth="1"/>
    <col min="6" max="6" width="5" style="68" customWidth="1"/>
    <col min="7" max="9" width="1" style="68" customWidth="1"/>
    <col min="10" max="10" width="1.6328125" style="68" customWidth="1"/>
    <col min="11" max="11" width="1" style="68" customWidth="1"/>
    <col min="12" max="12" width="17" style="68" customWidth="1"/>
    <col min="13" max="13" width="9.6328125" style="68" customWidth="1"/>
    <col min="14" max="14" width="1" style="68" customWidth="1"/>
    <col min="15" max="16" width="1.6328125" style="68" customWidth="1"/>
    <col min="17" max="17" width="4" style="68" customWidth="1"/>
    <col min="18" max="18" width="2.6328125" style="68" customWidth="1"/>
    <col min="19" max="22" width="1" style="68" customWidth="1"/>
    <col min="23" max="24" width="1.6328125" style="68" customWidth="1"/>
    <col min="25" max="26" width="1" style="68" customWidth="1"/>
    <col min="27" max="28" width="1.6328125" style="68" customWidth="1"/>
    <col min="29" max="29" width="2.6328125" style="68" customWidth="1"/>
    <col min="30" max="34" width="1" style="68" customWidth="1"/>
    <col min="35" max="35" width="2.6328125" style="68" customWidth="1"/>
    <col min="36" max="36" width="1" style="68" customWidth="1"/>
    <col min="37" max="37" width="2.6328125" style="68" customWidth="1"/>
    <col min="38" max="38" width="1" style="68" customWidth="1"/>
    <col min="39" max="39" width="2.6328125" style="68" customWidth="1"/>
    <col min="40" max="43" width="1" style="68" customWidth="1"/>
    <col min="44" max="47" width="1.6328125" style="68" customWidth="1"/>
    <col min="48" max="48" width="1" style="68" customWidth="1"/>
    <col min="49" max="49" width="1.6328125" style="68" customWidth="1"/>
    <col min="50" max="51" width="1" style="68" customWidth="1"/>
    <col min="52" max="52" width="1.6328125" style="68" customWidth="1"/>
    <col min="53" max="53" width="5" style="68" customWidth="1"/>
    <col min="54" max="54" width="1" style="68" customWidth="1"/>
    <col min="55" max="55" width="4" style="68" customWidth="1"/>
    <col min="56" max="56" width="1" style="68" customWidth="1"/>
    <col min="57" max="57" width="2.6328125" style="68" customWidth="1"/>
    <col min="58" max="58" width="1" style="68" customWidth="1"/>
    <col min="59" max="60" width="1.6328125" style="68" customWidth="1"/>
    <col min="61" max="61" width="2.6328125" style="68" customWidth="1"/>
    <col min="62" max="63" width="1.6328125" style="68" customWidth="1"/>
    <col min="64" max="66" width="1" style="68" customWidth="1"/>
    <col min="67" max="67" width="1.6328125" style="68" customWidth="1"/>
    <col min="68" max="68" width="1" style="68" customWidth="1"/>
    <col min="69" max="69" width="2.6328125" style="68" customWidth="1"/>
    <col min="70" max="70" width="1.6328125" style="68" customWidth="1"/>
    <col min="71" max="71" width="1" style="68" customWidth="1"/>
    <col min="72" max="72" width="2.6328125" style="68" customWidth="1"/>
    <col min="73" max="73" width="1.6328125" style="68" customWidth="1"/>
    <col min="74" max="74" width="1" style="68" customWidth="1"/>
    <col min="75" max="75" width="1.6328125" style="68" customWidth="1"/>
    <col min="76" max="79" width="1" style="68" customWidth="1"/>
    <col min="80" max="16384" width="8" style="68"/>
  </cols>
  <sheetData>
    <row r="1" spans="1:1">
      <c r="A1" s="67"/>
    </row>
    <row r="2" spans="1:1">
      <c r="A2" s="69" t="s">
        <v>64</v>
      </c>
    </row>
    <row r="3" spans="1:1">
      <c r="A3" s="67" t="s">
        <v>65</v>
      </c>
    </row>
    <row r="4" spans="1:1">
      <c r="A4" s="67" t="s">
        <v>66</v>
      </c>
    </row>
    <row r="5" spans="1:1">
      <c r="A5" s="67" t="s">
        <v>305</v>
      </c>
    </row>
    <row r="6" spans="1:1" ht="77.5">
      <c r="A6" s="67" t="s">
        <v>67</v>
      </c>
    </row>
    <row r="7" spans="1:1" ht="46.5">
      <c r="A7" s="67" t="s">
        <v>68</v>
      </c>
    </row>
    <row r="8" spans="1:1" ht="46.5">
      <c r="A8" s="67" t="s">
        <v>69</v>
      </c>
    </row>
    <row r="9" spans="1:1">
      <c r="A9" s="67" t="s">
        <v>70</v>
      </c>
    </row>
    <row r="10" spans="1:1" ht="31">
      <c r="A10" s="67" t="s">
        <v>71</v>
      </c>
    </row>
    <row r="11" spans="1:1" ht="31">
      <c r="A11" s="67" t="s">
        <v>72</v>
      </c>
    </row>
    <row r="12" spans="1:1" ht="46.5">
      <c r="A12" s="67" t="s">
        <v>73</v>
      </c>
    </row>
    <row r="13" spans="1:1">
      <c r="A13" s="67" t="s">
        <v>74</v>
      </c>
    </row>
    <row r="14" spans="1:1" ht="46.5">
      <c r="A14" s="67" t="s">
        <v>75</v>
      </c>
    </row>
    <row r="15" spans="1:1" ht="21" customHeight="1">
      <c r="A15" s="67" t="s">
        <v>76</v>
      </c>
    </row>
    <row r="16" spans="1:1">
      <c r="A16" s="67" t="s">
        <v>77</v>
      </c>
    </row>
    <row r="17" spans="1:1">
      <c r="A17" s="67" t="s">
        <v>78</v>
      </c>
    </row>
    <row r="18" spans="1:1">
      <c r="A18" s="67" t="s">
        <v>79</v>
      </c>
    </row>
    <row r="19" spans="1:1">
      <c r="A19" s="67" t="s">
        <v>80</v>
      </c>
    </row>
    <row r="20" spans="1:1">
      <c r="A20" s="67" t="s">
        <v>81</v>
      </c>
    </row>
    <row r="21" spans="1:1" ht="31">
      <c r="A21" s="67" t="s">
        <v>82</v>
      </c>
    </row>
    <row r="22" spans="1:1" ht="46.5">
      <c r="A22" s="70" t="s">
        <v>83</v>
      </c>
    </row>
    <row r="23" spans="1:1">
      <c r="A23" s="67" t="s">
        <v>84</v>
      </c>
    </row>
    <row r="24" spans="1:1">
      <c r="A24" s="67" t="s">
        <v>85</v>
      </c>
    </row>
    <row r="25" spans="1:1" ht="31">
      <c r="A25" s="67" t="s">
        <v>86</v>
      </c>
    </row>
    <row r="26" spans="1:1">
      <c r="A26" s="67" t="s">
        <v>298</v>
      </c>
    </row>
    <row r="27" spans="1:1" ht="31">
      <c r="A27" s="67" t="s">
        <v>87</v>
      </c>
    </row>
    <row r="28" spans="1:1">
      <c r="A28" s="67" t="s">
        <v>88</v>
      </c>
    </row>
    <row r="29" spans="1:1">
      <c r="A29" s="67" t="s">
        <v>89</v>
      </c>
    </row>
    <row r="30" spans="1:1">
      <c r="A30" s="67" t="s">
        <v>90</v>
      </c>
    </row>
    <row r="31" spans="1:1" ht="31">
      <c r="A31" s="67" t="s">
        <v>91</v>
      </c>
    </row>
    <row r="32" spans="1:1" ht="46.5">
      <c r="A32" s="67" t="s">
        <v>92</v>
      </c>
    </row>
    <row r="33" spans="1:1" ht="31">
      <c r="A33" s="67" t="s">
        <v>93</v>
      </c>
    </row>
    <row r="34" spans="1:1" ht="36" customHeight="1">
      <c r="A34" s="67" t="s">
        <v>94</v>
      </c>
    </row>
    <row r="35" spans="1:1" ht="31">
      <c r="A35" s="67" t="s">
        <v>95</v>
      </c>
    </row>
    <row r="36" spans="1:1" ht="46.5">
      <c r="A36" s="67" t="s">
        <v>96</v>
      </c>
    </row>
    <row r="37" spans="1:1" ht="46.5">
      <c r="A37" s="67" t="s">
        <v>299</v>
      </c>
    </row>
    <row r="38" spans="1:1" ht="46.5">
      <c r="A38" s="67" t="s">
        <v>97</v>
      </c>
    </row>
    <row r="39" spans="1:1" ht="31">
      <c r="A39" s="67" t="s">
        <v>98</v>
      </c>
    </row>
    <row r="40" spans="1:1" ht="31">
      <c r="A40" s="67" t="s">
        <v>99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29"/>
  <sheetViews>
    <sheetView tabSelected="1" view="pageBreakPreview" topLeftCell="A2" zoomScale="60" zoomScaleNormal="100" workbookViewId="0">
      <selection activeCell="A13" sqref="A13"/>
    </sheetView>
  </sheetViews>
  <sheetFormatPr defaultColWidth="8.6328125" defaultRowHeight="23"/>
  <cols>
    <col min="1" max="1" width="77.453125" style="1" bestFit="1" customWidth="1"/>
    <col min="2" max="2" width="13.453125" style="14" customWidth="1"/>
    <col min="3" max="3" width="29.453125" style="1" bestFit="1" customWidth="1"/>
    <col min="4" max="4" width="18.453125" style="1" bestFit="1" customWidth="1"/>
    <col min="5" max="5" width="13.453125" style="1" bestFit="1" customWidth="1"/>
    <col min="6" max="6" width="18.36328125" style="1" bestFit="1" customWidth="1"/>
    <col min="7" max="249" width="9.1796875" style="1"/>
    <col min="250" max="250" width="13.453125" style="1" customWidth="1"/>
    <col min="251" max="251" width="71.6328125" style="1" customWidth="1"/>
    <col min="252" max="252" width="8" style="1" customWidth="1"/>
    <col min="253" max="253" width="10.453125" style="1" customWidth="1"/>
    <col min="254" max="254" width="17.1796875" style="1" customWidth="1"/>
    <col min="255" max="255" width="22" style="1" customWidth="1"/>
    <col min="256" max="256" width="9.1796875" style="1"/>
    <col min="257" max="257" width="9.453125" style="1" customWidth="1"/>
    <col min="258" max="260" width="14.453125" style="1" bestFit="1" customWidth="1"/>
    <col min="261" max="261" width="10.6328125" style="1" bestFit="1" customWidth="1"/>
    <col min="262" max="262" width="12.453125" style="1" bestFit="1" customWidth="1"/>
    <col min="263" max="505" width="9.1796875" style="1"/>
    <col min="506" max="506" width="13.453125" style="1" customWidth="1"/>
    <col min="507" max="507" width="71.6328125" style="1" customWidth="1"/>
    <col min="508" max="508" width="8" style="1" customWidth="1"/>
    <col min="509" max="509" width="10.453125" style="1" customWidth="1"/>
    <col min="510" max="510" width="17.1796875" style="1" customWidth="1"/>
    <col min="511" max="511" width="22" style="1" customWidth="1"/>
    <col min="512" max="512" width="9.1796875" style="1"/>
    <col min="513" max="513" width="9.453125" style="1" customWidth="1"/>
    <col min="514" max="516" width="14.453125" style="1" bestFit="1" customWidth="1"/>
    <col min="517" max="517" width="10.6328125" style="1" bestFit="1" customWidth="1"/>
    <col min="518" max="518" width="12.453125" style="1" bestFit="1" customWidth="1"/>
    <col min="519" max="761" width="9.1796875" style="1"/>
    <col min="762" max="762" width="13.453125" style="1" customWidth="1"/>
    <col min="763" max="763" width="71.6328125" style="1" customWidth="1"/>
    <col min="764" max="764" width="8" style="1" customWidth="1"/>
    <col min="765" max="765" width="10.453125" style="1" customWidth="1"/>
    <col min="766" max="766" width="17.1796875" style="1" customWidth="1"/>
    <col min="767" max="767" width="22" style="1" customWidth="1"/>
    <col min="768" max="768" width="9.1796875" style="1"/>
    <col min="769" max="769" width="9.453125" style="1" customWidth="1"/>
    <col min="770" max="772" width="14.453125" style="1" bestFit="1" customWidth="1"/>
    <col min="773" max="773" width="10.6328125" style="1" bestFit="1" customWidth="1"/>
    <col min="774" max="774" width="12.453125" style="1" bestFit="1" customWidth="1"/>
    <col min="775" max="1017" width="9.1796875" style="1"/>
    <col min="1018" max="1018" width="13.453125" style="1" customWidth="1"/>
    <col min="1019" max="1019" width="71.6328125" style="1" customWidth="1"/>
    <col min="1020" max="1020" width="8" style="1" customWidth="1"/>
    <col min="1021" max="1021" width="10.453125" style="1" customWidth="1"/>
    <col min="1022" max="1022" width="17.1796875" style="1" customWidth="1"/>
    <col min="1023" max="1023" width="22" style="1" customWidth="1"/>
    <col min="1024" max="1024" width="9.1796875" style="1"/>
    <col min="1025" max="1025" width="9.453125" style="1" customWidth="1"/>
    <col min="1026" max="1028" width="14.453125" style="1" bestFit="1" customWidth="1"/>
    <col min="1029" max="1029" width="10.6328125" style="1" bestFit="1" customWidth="1"/>
    <col min="1030" max="1030" width="12.453125" style="1" bestFit="1" customWidth="1"/>
    <col min="1031" max="1273" width="9.1796875" style="1"/>
    <col min="1274" max="1274" width="13.453125" style="1" customWidth="1"/>
    <col min="1275" max="1275" width="71.6328125" style="1" customWidth="1"/>
    <col min="1276" max="1276" width="8" style="1" customWidth="1"/>
    <col min="1277" max="1277" width="10.453125" style="1" customWidth="1"/>
    <col min="1278" max="1278" width="17.1796875" style="1" customWidth="1"/>
    <col min="1279" max="1279" width="22" style="1" customWidth="1"/>
    <col min="1280" max="1280" width="9.1796875" style="1"/>
    <col min="1281" max="1281" width="9.453125" style="1" customWidth="1"/>
    <col min="1282" max="1284" width="14.453125" style="1" bestFit="1" customWidth="1"/>
    <col min="1285" max="1285" width="10.6328125" style="1" bestFit="1" customWidth="1"/>
    <col min="1286" max="1286" width="12.453125" style="1" bestFit="1" customWidth="1"/>
    <col min="1287" max="1529" width="9.1796875" style="1"/>
    <col min="1530" max="1530" width="13.453125" style="1" customWidth="1"/>
    <col min="1531" max="1531" width="71.6328125" style="1" customWidth="1"/>
    <col min="1532" max="1532" width="8" style="1" customWidth="1"/>
    <col min="1533" max="1533" width="10.453125" style="1" customWidth="1"/>
    <col min="1534" max="1534" width="17.1796875" style="1" customWidth="1"/>
    <col min="1535" max="1535" width="22" style="1" customWidth="1"/>
    <col min="1536" max="1536" width="9.1796875" style="1"/>
    <col min="1537" max="1537" width="9.453125" style="1" customWidth="1"/>
    <col min="1538" max="1540" width="14.453125" style="1" bestFit="1" customWidth="1"/>
    <col min="1541" max="1541" width="10.6328125" style="1" bestFit="1" customWidth="1"/>
    <col min="1542" max="1542" width="12.453125" style="1" bestFit="1" customWidth="1"/>
    <col min="1543" max="1785" width="9.1796875" style="1"/>
    <col min="1786" max="1786" width="13.453125" style="1" customWidth="1"/>
    <col min="1787" max="1787" width="71.6328125" style="1" customWidth="1"/>
    <col min="1788" max="1788" width="8" style="1" customWidth="1"/>
    <col min="1789" max="1789" width="10.453125" style="1" customWidth="1"/>
    <col min="1790" max="1790" width="17.1796875" style="1" customWidth="1"/>
    <col min="1791" max="1791" width="22" style="1" customWidth="1"/>
    <col min="1792" max="1792" width="9.1796875" style="1"/>
    <col min="1793" max="1793" width="9.453125" style="1" customWidth="1"/>
    <col min="1794" max="1796" width="14.453125" style="1" bestFit="1" customWidth="1"/>
    <col min="1797" max="1797" width="10.6328125" style="1" bestFit="1" customWidth="1"/>
    <col min="1798" max="1798" width="12.453125" style="1" bestFit="1" customWidth="1"/>
    <col min="1799" max="2041" width="9.1796875" style="1"/>
    <col min="2042" max="2042" width="13.453125" style="1" customWidth="1"/>
    <col min="2043" max="2043" width="71.6328125" style="1" customWidth="1"/>
    <col min="2044" max="2044" width="8" style="1" customWidth="1"/>
    <col min="2045" max="2045" width="10.453125" style="1" customWidth="1"/>
    <col min="2046" max="2046" width="17.1796875" style="1" customWidth="1"/>
    <col min="2047" max="2047" width="22" style="1" customWidth="1"/>
    <col min="2048" max="2048" width="9.1796875" style="1"/>
    <col min="2049" max="2049" width="9.453125" style="1" customWidth="1"/>
    <col min="2050" max="2052" width="14.453125" style="1" bestFit="1" customWidth="1"/>
    <col min="2053" max="2053" width="10.6328125" style="1" bestFit="1" customWidth="1"/>
    <col min="2054" max="2054" width="12.453125" style="1" bestFit="1" customWidth="1"/>
    <col min="2055" max="2297" width="9.1796875" style="1"/>
    <col min="2298" max="2298" width="13.453125" style="1" customWidth="1"/>
    <col min="2299" max="2299" width="71.6328125" style="1" customWidth="1"/>
    <col min="2300" max="2300" width="8" style="1" customWidth="1"/>
    <col min="2301" max="2301" width="10.453125" style="1" customWidth="1"/>
    <col min="2302" max="2302" width="17.1796875" style="1" customWidth="1"/>
    <col min="2303" max="2303" width="22" style="1" customWidth="1"/>
    <col min="2304" max="2304" width="9.1796875" style="1"/>
    <col min="2305" max="2305" width="9.453125" style="1" customWidth="1"/>
    <col min="2306" max="2308" width="14.453125" style="1" bestFit="1" customWidth="1"/>
    <col min="2309" max="2309" width="10.6328125" style="1" bestFit="1" customWidth="1"/>
    <col min="2310" max="2310" width="12.453125" style="1" bestFit="1" customWidth="1"/>
    <col min="2311" max="2553" width="9.1796875" style="1"/>
    <col min="2554" max="2554" width="13.453125" style="1" customWidth="1"/>
    <col min="2555" max="2555" width="71.6328125" style="1" customWidth="1"/>
    <col min="2556" max="2556" width="8" style="1" customWidth="1"/>
    <col min="2557" max="2557" width="10.453125" style="1" customWidth="1"/>
    <col min="2558" max="2558" width="17.1796875" style="1" customWidth="1"/>
    <col min="2559" max="2559" width="22" style="1" customWidth="1"/>
    <col min="2560" max="2560" width="9.1796875" style="1"/>
    <col min="2561" max="2561" width="9.453125" style="1" customWidth="1"/>
    <col min="2562" max="2564" width="14.453125" style="1" bestFit="1" customWidth="1"/>
    <col min="2565" max="2565" width="10.6328125" style="1" bestFit="1" customWidth="1"/>
    <col min="2566" max="2566" width="12.453125" style="1" bestFit="1" customWidth="1"/>
    <col min="2567" max="2809" width="9.1796875" style="1"/>
    <col min="2810" max="2810" width="13.453125" style="1" customWidth="1"/>
    <col min="2811" max="2811" width="71.6328125" style="1" customWidth="1"/>
    <col min="2812" max="2812" width="8" style="1" customWidth="1"/>
    <col min="2813" max="2813" width="10.453125" style="1" customWidth="1"/>
    <col min="2814" max="2814" width="17.1796875" style="1" customWidth="1"/>
    <col min="2815" max="2815" width="22" style="1" customWidth="1"/>
    <col min="2816" max="2816" width="9.1796875" style="1"/>
    <col min="2817" max="2817" width="9.453125" style="1" customWidth="1"/>
    <col min="2818" max="2820" width="14.453125" style="1" bestFit="1" customWidth="1"/>
    <col min="2821" max="2821" width="10.6328125" style="1" bestFit="1" customWidth="1"/>
    <col min="2822" max="2822" width="12.453125" style="1" bestFit="1" customWidth="1"/>
    <col min="2823" max="3065" width="9.1796875" style="1"/>
    <col min="3066" max="3066" width="13.453125" style="1" customWidth="1"/>
    <col min="3067" max="3067" width="71.6328125" style="1" customWidth="1"/>
    <col min="3068" max="3068" width="8" style="1" customWidth="1"/>
    <col min="3069" max="3069" width="10.453125" style="1" customWidth="1"/>
    <col min="3070" max="3070" width="17.1796875" style="1" customWidth="1"/>
    <col min="3071" max="3071" width="22" style="1" customWidth="1"/>
    <col min="3072" max="3072" width="9.1796875" style="1"/>
    <col min="3073" max="3073" width="9.453125" style="1" customWidth="1"/>
    <col min="3074" max="3076" width="14.453125" style="1" bestFit="1" customWidth="1"/>
    <col min="3077" max="3077" width="10.6328125" style="1" bestFit="1" customWidth="1"/>
    <col min="3078" max="3078" width="12.453125" style="1" bestFit="1" customWidth="1"/>
    <col min="3079" max="3321" width="9.1796875" style="1"/>
    <col min="3322" max="3322" width="13.453125" style="1" customWidth="1"/>
    <col min="3323" max="3323" width="71.6328125" style="1" customWidth="1"/>
    <col min="3324" max="3324" width="8" style="1" customWidth="1"/>
    <col min="3325" max="3325" width="10.453125" style="1" customWidth="1"/>
    <col min="3326" max="3326" width="17.1796875" style="1" customWidth="1"/>
    <col min="3327" max="3327" width="22" style="1" customWidth="1"/>
    <col min="3328" max="3328" width="9.1796875" style="1"/>
    <col min="3329" max="3329" width="9.453125" style="1" customWidth="1"/>
    <col min="3330" max="3332" width="14.453125" style="1" bestFit="1" customWidth="1"/>
    <col min="3333" max="3333" width="10.6328125" style="1" bestFit="1" customWidth="1"/>
    <col min="3334" max="3334" width="12.453125" style="1" bestFit="1" customWidth="1"/>
    <col min="3335" max="3577" width="9.1796875" style="1"/>
    <col min="3578" max="3578" width="13.453125" style="1" customWidth="1"/>
    <col min="3579" max="3579" width="71.6328125" style="1" customWidth="1"/>
    <col min="3580" max="3580" width="8" style="1" customWidth="1"/>
    <col min="3581" max="3581" width="10.453125" style="1" customWidth="1"/>
    <col min="3582" max="3582" width="17.1796875" style="1" customWidth="1"/>
    <col min="3583" max="3583" width="22" style="1" customWidth="1"/>
    <col min="3584" max="3584" width="9.1796875" style="1"/>
    <col min="3585" max="3585" width="9.453125" style="1" customWidth="1"/>
    <col min="3586" max="3588" width="14.453125" style="1" bestFit="1" customWidth="1"/>
    <col min="3589" max="3589" width="10.6328125" style="1" bestFit="1" customWidth="1"/>
    <col min="3590" max="3590" width="12.453125" style="1" bestFit="1" customWidth="1"/>
    <col min="3591" max="3833" width="9.1796875" style="1"/>
    <col min="3834" max="3834" width="13.453125" style="1" customWidth="1"/>
    <col min="3835" max="3835" width="71.6328125" style="1" customWidth="1"/>
    <col min="3836" max="3836" width="8" style="1" customWidth="1"/>
    <col min="3837" max="3837" width="10.453125" style="1" customWidth="1"/>
    <col min="3838" max="3838" width="17.1796875" style="1" customWidth="1"/>
    <col min="3839" max="3839" width="22" style="1" customWidth="1"/>
    <col min="3840" max="3840" width="9.1796875" style="1"/>
    <col min="3841" max="3841" width="9.453125" style="1" customWidth="1"/>
    <col min="3842" max="3844" width="14.453125" style="1" bestFit="1" customWidth="1"/>
    <col min="3845" max="3845" width="10.6328125" style="1" bestFit="1" customWidth="1"/>
    <col min="3846" max="3846" width="12.453125" style="1" bestFit="1" customWidth="1"/>
    <col min="3847" max="4089" width="9.1796875" style="1"/>
    <col min="4090" max="4090" width="13.453125" style="1" customWidth="1"/>
    <col min="4091" max="4091" width="71.6328125" style="1" customWidth="1"/>
    <col min="4092" max="4092" width="8" style="1" customWidth="1"/>
    <col min="4093" max="4093" width="10.453125" style="1" customWidth="1"/>
    <col min="4094" max="4094" width="17.1796875" style="1" customWidth="1"/>
    <col min="4095" max="4095" width="22" style="1" customWidth="1"/>
    <col min="4096" max="4096" width="9.1796875" style="1"/>
    <col min="4097" max="4097" width="9.453125" style="1" customWidth="1"/>
    <col min="4098" max="4100" width="14.453125" style="1" bestFit="1" customWidth="1"/>
    <col min="4101" max="4101" width="10.6328125" style="1" bestFit="1" customWidth="1"/>
    <col min="4102" max="4102" width="12.453125" style="1" bestFit="1" customWidth="1"/>
    <col min="4103" max="4345" width="9.1796875" style="1"/>
    <col min="4346" max="4346" width="13.453125" style="1" customWidth="1"/>
    <col min="4347" max="4347" width="71.6328125" style="1" customWidth="1"/>
    <col min="4348" max="4348" width="8" style="1" customWidth="1"/>
    <col min="4349" max="4349" width="10.453125" style="1" customWidth="1"/>
    <col min="4350" max="4350" width="17.1796875" style="1" customWidth="1"/>
    <col min="4351" max="4351" width="22" style="1" customWidth="1"/>
    <col min="4352" max="4352" width="9.1796875" style="1"/>
    <col min="4353" max="4353" width="9.453125" style="1" customWidth="1"/>
    <col min="4354" max="4356" width="14.453125" style="1" bestFit="1" customWidth="1"/>
    <col min="4357" max="4357" width="10.6328125" style="1" bestFit="1" customWidth="1"/>
    <col min="4358" max="4358" width="12.453125" style="1" bestFit="1" customWidth="1"/>
    <col min="4359" max="4601" width="9.1796875" style="1"/>
    <col min="4602" max="4602" width="13.453125" style="1" customWidth="1"/>
    <col min="4603" max="4603" width="71.6328125" style="1" customWidth="1"/>
    <col min="4604" max="4604" width="8" style="1" customWidth="1"/>
    <col min="4605" max="4605" width="10.453125" style="1" customWidth="1"/>
    <col min="4606" max="4606" width="17.1796875" style="1" customWidth="1"/>
    <col min="4607" max="4607" width="22" style="1" customWidth="1"/>
    <col min="4608" max="4608" width="9.1796875" style="1"/>
    <col min="4609" max="4609" width="9.453125" style="1" customWidth="1"/>
    <col min="4610" max="4612" width="14.453125" style="1" bestFit="1" customWidth="1"/>
    <col min="4613" max="4613" width="10.6328125" style="1" bestFit="1" customWidth="1"/>
    <col min="4614" max="4614" width="12.453125" style="1" bestFit="1" customWidth="1"/>
    <col min="4615" max="4857" width="9.1796875" style="1"/>
    <col min="4858" max="4858" width="13.453125" style="1" customWidth="1"/>
    <col min="4859" max="4859" width="71.6328125" style="1" customWidth="1"/>
    <col min="4860" max="4860" width="8" style="1" customWidth="1"/>
    <col min="4861" max="4861" width="10.453125" style="1" customWidth="1"/>
    <col min="4862" max="4862" width="17.1796875" style="1" customWidth="1"/>
    <col min="4863" max="4863" width="22" style="1" customWidth="1"/>
    <col min="4864" max="4864" width="9.1796875" style="1"/>
    <col min="4865" max="4865" width="9.453125" style="1" customWidth="1"/>
    <col min="4866" max="4868" width="14.453125" style="1" bestFit="1" customWidth="1"/>
    <col min="4869" max="4869" width="10.6328125" style="1" bestFit="1" customWidth="1"/>
    <col min="4870" max="4870" width="12.453125" style="1" bestFit="1" customWidth="1"/>
    <col min="4871" max="5113" width="9.1796875" style="1"/>
    <col min="5114" max="5114" width="13.453125" style="1" customWidth="1"/>
    <col min="5115" max="5115" width="71.6328125" style="1" customWidth="1"/>
    <col min="5116" max="5116" width="8" style="1" customWidth="1"/>
    <col min="5117" max="5117" width="10.453125" style="1" customWidth="1"/>
    <col min="5118" max="5118" width="17.1796875" style="1" customWidth="1"/>
    <col min="5119" max="5119" width="22" style="1" customWidth="1"/>
    <col min="5120" max="5120" width="9.1796875" style="1"/>
    <col min="5121" max="5121" width="9.453125" style="1" customWidth="1"/>
    <col min="5122" max="5124" width="14.453125" style="1" bestFit="1" customWidth="1"/>
    <col min="5125" max="5125" width="10.6328125" style="1" bestFit="1" customWidth="1"/>
    <col min="5126" max="5126" width="12.453125" style="1" bestFit="1" customWidth="1"/>
    <col min="5127" max="5369" width="9.1796875" style="1"/>
    <col min="5370" max="5370" width="13.453125" style="1" customWidth="1"/>
    <col min="5371" max="5371" width="71.6328125" style="1" customWidth="1"/>
    <col min="5372" max="5372" width="8" style="1" customWidth="1"/>
    <col min="5373" max="5373" width="10.453125" style="1" customWidth="1"/>
    <col min="5374" max="5374" width="17.1796875" style="1" customWidth="1"/>
    <col min="5375" max="5375" width="22" style="1" customWidth="1"/>
    <col min="5376" max="5376" width="9.1796875" style="1"/>
    <col min="5377" max="5377" width="9.453125" style="1" customWidth="1"/>
    <col min="5378" max="5380" width="14.453125" style="1" bestFit="1" customWidth="1"/>
    <col min="5381" max="5381" width="10.6328125" style="1" bestFit="1" customWidth="1"/>
    <col min="5382" max="5382" width="12.453125" style="1" bestFit="1" customWidth="1"/>
    <col min="5383" max="5625" width="9.1796875" style="1"/>
    <col min="5626" max="5626" width="13.453125" style="1" customWidth="1"/>
    <col min="5627" max="5627" width="71.6328125" style="1" customWidth="1"/>
    <col min="5628" max="5628" width="8" style="1" customWidth="1"/>
    <col min="5629" max="5629" width="10.453125" style="1" customWidth="1"/>
    <col min="5630" max="5630" width="17.1796875" style="1" customWidth="1"/>
    <col min="5631" max="5631" width="22" style="1" customWidth="1"/>
    <col min="5632" max="5632" width="9.1796875" style="1"/>
    <col min="5633" max="5633" width="9.453125" style="1" customWidth="1"/>
    <col min="5634" max="5636" width="14.453125" style="1" bestFit="1" customWidth="1"/>
    <col min="5637" max="5637" width="10.6328125" style="1" bestFit="1" customWidth="1"/>
    <col min="5638" max="5638" width="12.453125" style="1" bestFit="1" customWidth="1"/>
    <col min="5639" max="5881" width="9.1796875" style="1"/>
    <col min="5882" max="5882" width="13.453125" style="1" customWidth="1"/>
    <col min="5883" max="5883" width="71.6328125" style="1" customWidth="1"/>
    <col min="5884" max="5884" width="8" style="1" customWidth="1"/>
    <col min="5885" max="5885" width="10.453125" style="1" customWidth="1"/>
    <col min="5886" max="5886" width="17.1796875" style="1" customWidth="1"/>
    <col min="5887" max="5887" width="22" style="1" customWidth="1"/>
    <col min="5888" max="5888" width="9.1796875" style="1"/>
    <col min="5889" max="5889" width="9.453125" style="1" customWidth="1"/>
    <col min="5890" max="5892" width="14.453125" style="1" bestFit="1" customWidth="1"/>
    <col min="5893" max="5893" width="10.6328125" style="1" bestFit="1" customWidth="1"/>
    <col min="5894" max="5894" width="12.453125" style="1" bestFit="1" customWidth="1"/>
    <col min="5895" max="6137" width="9.1796875" style="1"/>
    <col min="6138" max="6138" width="13.453125" style="1" customWidth="1"/>
    <col min="6139" max="6139" width="71.6328125" style="1" customWidth="1"/>
    <col min="6140" max="6140" width="8" style="1" customWidth="1"/>
    <col min="6141" max="6141" width="10.453125" style="1" customWidth="1"/>
    <col min="6142" max="6142" width="17.1796875" style="1" customWidth="1"/>
    <col min="6143" max="6143" width="22" style="1" customWidth="1"/>
    <col min="6144" max="6144" width="9.1796875" style="1"/>
    <col min="6145" max="6145" width="9.453125" style="1" customWidth="1"/>
    <col min="6146" max="6148" width="14.453125" style="1" bestFit="1" customWidth="1"/>
    <col min="6149" max="6149" width="10.6328125" style="1" bestFit="1" customWidth="1"/>
    <col min="6150" max="6150" width="12.453125" style="1" bestFit="1" customWidth="1"/>
    <col min="6151" max="6393" width="9.1796875" style="1"/>
    <col min="6394" max="6394" width="13.453125" style="1" customWidth="1"/>
    <col min="6395" max="6395" width="71.6328125" style="1" customWidth="1"/>
    <col min="6396" max="6396" width="8" style="1" customWidth="1"/>
    <col min="6397" max="6397" width="10.453125" style="1" customWidth="1"/>
    <col min="6398" max="6398" width="17.1796875" style="1" customWidth="1"/>
    <col min="6399" max="6399" width="22" style="1" customWidth="1"/>
    <col min="6400" max="6400" width="9.1796875" style="1"/>
    <col min="6401" max="6401" width="9.453125" style="1" customWidth="1"/>
    <col min="6402" max="6404" width="14.453125" style="1" bestFit="1" customWidth="1"/>
    <col min="6405" max="6405" width="10.6328125" style="1" bestFit="1" customWidth="1"/>
    <col min="6406" max="6406" width="12.453125" style="1" bestFit="1" customWidth="1"/>
    <col min="6407" max="6649" width="9.1796875" style="1"/>
    <col min="6650" max="6650" width="13.453125" style="1" customWidth="1"/>
    <col min="6651" max="6651" width="71.6328125" style="1" customWidth="1"/>
    <col min="6652" max="6652" width="8" style="1" customWidth="1"/>
    <col min="6653" max="6653" width="10.453125" style="1" customWidth="1"/>
    <col min="6654" max="6654" width="17.1796875" style="1" customWidth="1"/>
    <col min="6655" max="6655" width="22" style="1" customWidth="1"/>
    <col min="6656" max="6656" width="9.1796875" style="1"/>
    <col min="6657" max="6657" width="9.453125" style="1" customWidth="1"/>
    <col min="6658" max="6660" width="14.453125" style="1" bestFit="1" customWidth="1"/>
    <col min="6661" max="6661" width="10.6328125" style="1" bestFit="1" customWidth="1"/>
    <col min="6662" max="6662" width="12.453125" style="1" bestFit="1" customWidth="1"/>
    <col min="6663" max="6905" width="9.1796875" style="1"/>
    <col min="6906" max="6906" width="13.453125" style="1" customWidth="1"/>
    <col min="6907" max="6907" width="71.6328125" style="1" customWidth="1"/>
    <col min="6908" max="6908" width="8" style="1" customWidth="1"/>
    <col min="6909" max="6909" width="10.453125" style="1" customWidth="1"/>
    <col min="6910" max="6910" width="17.1796875" style="1" customWidth="1"/>
    <col min="6911" max="6911" width="22" style="1" customWidth="1"/>
    <col min="6912" max="6912" width="9.1796875" style="1"/>
    <col min="6913" max="6913" width="9.453125" style="1" customWidth="1"/>
    <col min="6914" max="6916" width="14.453125" style="1" bestFit="1" customWidth="1"/>
    <col min="6917" max="6917" width="10.6328125" style="1" bestFit="1" customWidth="1"/>
    <col min="6918" max="6918" width="12.453125" style="1" bestFit="1" customWidth="1"/>
    <col min="6919" max="7161" width="9.1796875" style="1"/>
    <col min="7162" max="7162" width="13.453125" style="1" customWidth="1"/>
    <col min="7163" max="7163" width="71.6328125" style="1" customWidth="1"/>
    <col min="7164" max="7164" width="8" style="1" customWidth="1"/>
    <col min="7165" max="7165" width="10.453125" style="1" customWidth="1"/>
    <col min="7166" max="7166" width="17.1796875" style="1" customWidth="1"/>
    <col min="7167" max="7167" width="22" style="1" customWidth="1"/>
    <col min="7168" max="7168" width="9.1796875" style="1"/>
    <col min="7169" max="7169" width="9.453125" style="1" customWidth="1"/>
    <col min="7170" max="7172" width="14.453125" style="1" bestFit="1" customWidth="1"/>
    <col min="7173" max="7173" width="10.6328125" style="1" bestFit="1" customWidth="1"/>
    <col min="7174" max="7174" width="12.453125" style="1" bestFit="1" customWidth="1"/>
    <col min="7175" max="7417" width="9.1796875" style="1"/>
    <col min="7418" max="7418" width="13.453125" style="1" customWidth="1"/>
    <col min="7419" max="7419" width="71.6328125" style="1" customWidth="1"/>
    <col min="7420" max="7420" width="8" style="1" customWidth="1"/>
    <col min="7421" max="7421" width="10.453125" style="1" customWidth="1"/>
    <col min="7422" max="7422" width="17.1796875" style="1" customWidth="1"/>
    <col min="7423" max="7423" width="22" style="1" customWidth="1"/>
    <col min="7424" max="7424" width="9.1796875" style="1"/>
    <col min="7425" max="7425" width="9.453125" style="1" customWidth="1"/>
    <col min="7426" max="7428" width="14.453125" style="1" bestFit="1" customWidth="1"/>
    <col min="7429" max="7429" width="10.6328125" style="1" bestFit="1" customWidth="1"/>
    <col min="7430" max="7430" width="12.453125" style="1" bestFit="1" customWidth="1"/>
    <col min="7431" max="7673" width="9.1796875" style="1"/>
    <col min="7674" max="7674" width="13.453125" style="1" customWidth="1"/>
    <col min="7675" max="7675" width="71.6328125" style="1" customWidth="1"/>
    <col min="7676" max="7676" width="8" style="1" customWidth="1"/>
    <col min="7677" max="7677" width="10.453125" style="1" customWidth="1"/>
    <col min="7678" max="7678" width="17.1796875" style="1" customWidth="1"/>
    <col min="7679" max="7679" width="22" style="1" customWidth="1"/>
    <col min="7680" max="7680" width="9.1796875" style="1"/>
    <col min="7681" max="7681" width="9.453125" style="1" customWidth="1"/>
    <col min="7682" max="7684" width="14.453125" style="1" bestFit="1" customWidth="1"/>
    <col min="7685" max="7685" width="10.6328125" style="1" bestFit="1" customWidth="1"/>
    <col min="7686" max="7686" width="12.453125" style="1" bestFit="1" customWidth="1"/>
    <col min="7687" max="7929" width="9.1796875" style="1"/>
    <col min="7930" max="7930" width="13.453125" style="1" customWidth="1"/>
    <col min="7931" max="7931" width="71.6328125" style="1" customWidth="1"/>
    <col min="7932" max="7932" width="8" style="1" customWidth="1"/>
    <col min="7933" max="7933" width="10.453125" style="1" customWidth="1"/>
    <col min="7934" max="7934" width="17.1796875" style="1" customWidth="1"/>
    <col min="7935" max="7935" width="22" style="1" customWidth="1"/>
    <col min="7936" max="7936" width="9.1796875" style="1"/>
    <col min="7937" max="7937" width="9.453125" style="1" customWidth="1"/>
    <col min="7938" max="7940" width="14.453125" style="1" bestFit="1" customWidth="1"/>
    <col min="7941" max="7941" width="10.6328125" style="1" bestFit="1" customWidth="1"/>
    <col min="7942" max="7942" width="12.453125" style="1" bestFit="1" customWidth="1"/>
    <col min="7943" max="8185" width="9.1796875" style="1"/>
    <col min="8186" max="8186" width="13.453125" style="1" customWidth="1"/>
    <col min="8187" max="8187" width="71.6328125" style="1" customWidth="1"/>
    <col min="8188" max="8188" width="8" style="1" customWidth="1"/>
    <col min="8189" max="8189" width="10.453125" style="1" customWidth="1"/>
    <col min="8190" max="8190" width="17.1796875" style="1" customWidth="1"/>
    <col min="8191" max="8191" width="22" style="1" customWidth="1"/>
    <col min="8192" max="8192" width="9.1796875" style="1"/>
    <col min="8193" max="8193" width="9.453125" style="1" customWidth="1"/>
    <col min="8194" max="8196" width="14.453125" style="1" bestFit="1" customWidth="1"/>
    <col min="8197" max="8197" width="10.6328125" style="1" bestFit="1" customWidth="1"/>
    <col min="8198" max="8198" width="12.453125" style="1" bestFit="1" customWidth="1"/>
    <col min="8199" max="8441" width="9.1796875" style="1"/>
    <col min="8442" max="8442" width="13.453125" style="1" customWidth="1"/>
    <col min="8443" max="8443" width="71.6328125" style="1" customWidth="1"/>
    <col min="8444" max="8444" width="8" style="1" customWidth="1"/>
    <col min="8445" max="8445" width="10.453125" style="1" customWidth="1"/>
    <col min="8446" max="8446" width="17.1796875" style="1" customWidth="1"/>
    <col min="8447" max="8447" width="22" style="1" customWidth="1"/>
    <col min="8448" max="8448" width="9.1796875" style="1"/>
    <col min="8449" max="8449" width="9.453125" style="1" customWidth="1"/>
    <col min="8450" max="8452" width="14.453125" style="1" bestFit="1" customWidth="1"/>
    <col min="8453" max="8453" width="10.6328125" style="1" bestFit="1" customWidth="1"/>
    <col min="8454" max="8454" width="12.453125" style="1" bestFit="1" customWidth="1"/>
    <col min="8455" max="8697" width="9.1796875" style="1"/>
    <col min="8698" max="8698" width="13.453125" style="1" customWidth="1"/>
    <col min="8699" max="8699" width="71.6328125" style="1" customWidth="1"/>
    <col min="8700" max="8700" width="8" style="1" customWidth="1"/>
    <col min="8701" max="8701" width="10.453125" style="1" customWidth="1"/>
    <col min="8702" max="8702" width="17.1796875" style="1" customWidth="1"/>
    <col min="8703" max="8703" width="22" style="1" customWidth="1"/>
    <col min="8704" max="8704" width="9.1796875" style="1"/>
    <col min="8705" max="8705" width="9.453125" style="1" customWidth="1"/>
    <col min="8706" max="8708" width="14.453125" style="1" bestFit="1" customWidth="1"/>
    <col min="8709" max="8709" width="10.6328125" style="1" bestFit="1" customWidth="1"/>
    <col min="8710" max="8710" width="12.453125" style="1" bestFit="1" customWidth="1"/>
    <col min="8711" max="8953" width="9.1796875" style="1"/>
    <col min="8954" max="8954" width="13.453125" style="1" customWidth="1"/>
    <col min="8955" max="8955" width="71.6328125" style="1" customWidth="1"/>
    <col min="8956" max="8956" width="8" style="1" customWidth="1"/>
    <col min="8957" max="8957" width="10.453125" style="1" customWidth="1"/>
    <col min="8958" max="8958" width="17.1796875" style="1" customWidth="1"/>
    <col min="8959" max="8959" width="22" style="1" customWidth="1"/>
    <col min="8960" max="8960" width="9.1796875" style="1"/>
    <col min="8961" max="8961" width="9.453125" style="1" customWidth="1"/>
    <col min="8962" max="8964" width="14.453125" style="1" bestFit="1" customWidth="1"/>
    <col min="8965" max="8965" width="10.6328125" style="1" bestFit="1" customWidth="1"/>
    <col min="8966" max="8966" width="12.453125" style="1" bestFit="1" customWidth="1"/>
    <col min="8967" max="9209" width="9.1796875" style="1"/>
    <col min="9210" max="9210" width="13.453125" style="1" customWidth="1"/>
    <col min="9211" max="9211" width="71.6328125" style="1" customWidth="1"/>
    <col min="9212" max="9212" width="8" style="1" customWidth="1"/>
    <col min="9213" max="9213" width="10.453125" style="1" customWidth="1"/>
    <col min="9214" max="9214" width="17.1796875" style="1" customWidth="1"/>
    <col min="9215" max="9215" width="22" style="1" customWidth="1"/>
    <col min="9216" max="9216" width="9.1796875" style="1"/>
    <col min="9217" max="9217" width="9.453125" style="1" customWidth="1"/>
    <col min="9218" max="9220" width="14.453125" style="1" bestFit="1" customWidth="1"/>
    <col min="9221" max="9221" width="10.6328125" style="1" bestFit="1" customWidth="1"/>
    <col min="9222" max="9222" width="12.453125" style="1" bestFit="1" customWidth="1"/>
    <col min="9223" max="9465" width="9.1796875" style="1"/>
    <col min="9466" max="9466" width="13.453125" style="1" customWidth="1"/>
    <col min="9467" max="9467" width="71.6328125" style="1" customWidth="1"/>
    <col min="9468" max="9468" width="8" style="1" customWidth="1"/>
    <col min="9469" max="9469" width="10.453125" style="1" customWidth="1"/>
    <col min="9470" max="9470" width="17.1796875" style="1" customWidth="1"/>
    <col min="9471" max="9471" width="22" style="1" customWidth="1"/>
    <col min="9472" max="9472" width="9.1796875" style="1"/>
    <col min="9473" max="9473" width="9.453125" style="1" customWidth="1"/>
    <col min="9474" max="9476" width="14.453125" style="1" bestFit="1" customWidth="1"/>
    <col min="9477" max="9477" width="10.6328125" style="1" bestFit="1" customWidth="1"/>
    <col min="9478" max="9478" width="12.453125" style="1" bestFit="1" customWidth="1"/>
    <col min="9479" max="9721" width="9.1796875" style="1"/>
    <col min="9722" max="9722" width="13.453125" style="1" customWidth="1"/>
    <col min="9723" max="9723" width="71.6328125" style="1" customWidth="1"/>
    <col min="9724" max="9724" width="8" style="1" customWidth="1"/>
    <col min="9725" max="9725" width="10.453125" style="1" customWidth="1"/>
    <col min="9726" max="9726" width="17.1796875" style="1" customWidth="1"/>
    <col min="9727" max="9727" width="22" style="1" customWidth="1"/>
    <col min="9728" max="9728" width="9.1796875" style="1"/>
    <col min="9729" max="9729" width="9.453125" style="1" customWidth="1"/>
    <col min="9730" max="9732" width="14.453125" style="1" bestFit="1" customWidth="1"/>
    <col min="9733" max="9733" width="10.6328125" style="1" bestFit="1" customWidth="1"/>
    <col min="9734" max="9734" width="12.453125" style="1" bestFit="1" customWidth="1"/>
    <col min="9735" max="9977" width="9.1796875" style="1"/>
    <col min="9978" max="9978" width="13.453125" style="1" customWidth="1"/>
    <col min="9979" max="9979" width="71.6328125" style="1" customWidth="1"/>
    <col min="9980" max="9980" width="8" style="1" customWidth="1"/>
    <col min="9981" max="9981" width="10.453125" style="1" customWidth="1"/>
    <col min="9982" max="9982" width="17.1796875" style="1" customWidth="1"/>
    <col min="9983" max="9983" width="22" style="1" customWidth="1"/>
    <col min="9984" max="9984" width="9.1796875" style="1"/>
    <col min="9985" max="9985" width="9.453125" style="1" customWidth="1"/>
    <col min="9986" max="9988" width="14.453125" style="1" bestFit="1" customWidth="1"/>
    <col min="9989" max="9989" width="10.6328125" style="1" bestFit="1" customWidth="1"/>
    <col min="9990" max="9990" width="12.453125" style="1" bestFit="1" customWidth="1"/>
    <col min="9991" max="10233" width="9.1796875" style="1"/>
    <col min="10234" max="10234" width="13.453125" style="1" customWidth="1"/>
    <col min="10235" max="10235" width="71.6328125" style="1" customWidth="1"/>
    <col min="10236" max="10236" width="8" style="1" customWidth="1"/>
    <col min="10237" max="10237" width="10.453125" style="1" customWidth="1"/>
    <col min="10238" max="10238" width="17.1796875" style="1" customWidth="1"/>
    <col min="10239" max="10239" width="22" style="1" customWidth="1"/>
    <col min="10240" max="10240" width="9.1796875" style="1"/>
    <col min="10241" max="10241" width="9.453125" style="1" customWidth="1"/>
    <col min="10242" max="10244" width="14.453125" style="1" bestFit="1" customWidth="1"/>
    <col min="10245" max="10245" width="10.6328125" style="1" bestFit="1" customWidth="1"/>
    <col min="10246" max="10246" width="12.453125" style="1" bestFit="1" customWidth="1"/>
    <col min="10247" max="10489" width="9.1796875" style="1"/>
    <col min="10490" max="10490" width="13.453125" style="1" customWidth="1"/>
    <col min="10491" max="10491" width="71.6328125" style="1" customWidth="1"/>
    <col min="10492" max="10492" width="8" style="1" customWidth="1"/>
    <col min="10493" max="10493" width="10.453125" style="1" customWidth="1"/>
    <col min="10494" max="10494" width="17.1796875" style="1" customWidth="1"/>
    <col min="10495" max="10495" width="22" style="1" customWidth="1"/>
    <col min="10496" max="10496" width="9.1796875" style="1"/>
    <col min="10497" max="10497" width="9.453125" style="1" customWidth="1"/>
    <col min="10498" max="10500" width="14.453125" style="1" bestFit="1" customWidth="1"/>
    <col min="10501" max="10501" width="10.6328125" style="1" bestFit="1" customWidth="1"/>
    <col min="10502" max="10502" width="12.453125" style="1" bestFit="1" customWidth="1"/>
    <col min="10503" max="10745" width="9.1796875" style="1"/>
    <col min="10746" max="10746" width="13.453125" style="1" customWidth="1"/>
    <col min="10747" max="10747" width="71.6328125" style="1" customWidth="1"/>
    <col min="10748" max="10748" width="8" style="1" customWidth="1"/>
    <col min="10749" max="10749" width="10.453125" style="1" customWidth="1"/>
    <col min="10750" max="10750" width="17.1796875" style="1" customWidth="1"/>
    <col min="10751" max="10751" width="22" style="1" customWidth="1"/>
    <col min="10752" max="10752" width="9.1796875" style="1"/>
    <col min="10753" max="10753" width="9.453125" style="1" customWidth="1"/>
    <col min="10754" max="10756" width="14.453125" style="1" bestFit="1" customWidth="1"/>
    <col min="10757" max="10757" width="10.6328125" style="1" bestFit="1" customWidth="1"/>
    <col min="10758" max="10758" width="12.453125" style="1" bestFit="1" customWidth="1"/>
    <col min="10759" max="11001" width="9.1796875" style="1"/>
    <col min="11002" max="11002" width="13.453125" style="1" customWidth="1"/>
    <col min="11003" max="11003" width="71.6328125" style="1" customWidth="1"/>
    <col min="11004" max="11004" width="8" style="1" customWidth="1"/>
    <col min="11005" max="11005" width="10.453125" style="1" customWidth="1"/>
    <col min="11006" max="11006" width="17.1796875" style="1" customWidth="1"/>
    <col min="11007" max="11007" width="22" style="1" customWidth="1"/>
    <col min="11008" max="11008" width="9.1796875" style="1"/>
    <col min="11009" max="11009" width="9.453125" style="1" customWidth="1"/>
    <col min="11010" max="11012" width="14.453125" style="1" bestFit="1" customWidth="1"/>
    <col min="11013" max="11013" width="10.6328125" style="1" bestFit="1" customWidth="1"/>
    <col min="11014" max="11014" width="12.453125" style="1" bestFit="1" customWidth="1"/>
    <col min="11015" max="11257" width="9.1796875" style="1"/>
    <col min="11258" max="11258" width="13.453125" style="1" customWidth="1"/>
    <col min="11259" max="11259" width="71.6328125" style="1" customWidth="1"/>
    <col min="11260" max="11260" width="8" style="1" customWidth="1"/>
    <col min="11261" max="11261" width="10.453125" style="1" customWidth="1"/>
    <col min="11262" max="11262" width="17.1796875" style="1" customWidth="1"/>
    <col min="11263" max="11263" width="22" style="1" customWidth="1"/>
    <col min="11264" max="11264" width="9.1796875" style="1"/>
    <col min="11265" max="11265" width="9.453125" style="1" customWidth="1"/>
    <col min="11266" max="11268" width="14.453125" style="1" bestFit="1" customWidth="1"/>
    <col min="11269" max="11269" width="10.6328125" style="1" bestFit="1" customWidth="1"/>
    <col min="11270" max="11270" width="12.453125" style="1" bestFit="1" customWidth="1"/>
    <col min="11271" max="11513" width="9.1796875" style="1"/>
    <col min="11514" max="11514" width="13.453125" style="1" customWidth="1"/>
    <col min="11515" max="11515" width="71.6328125" style="1" customWidth="1"/>
    <col min="11516" max="11516" width="8" style="1" customWidth="1"/>
    <col min="11517" max="11517" width="10.453125" style="1" customWidth="1"/>
    <col min="11518" max="11518" width="17.1796875" style="1" customWidth="1"/>
    <col min="11519" max="11519" width="22" style="1" customWidth="1"/>
    <col min="11520" max="11520" width="9.1796875" style="1"/>
    <col min="11521" max="11521" width="9.453125" style="1" customWidth="1"/>
    <col min="11522" max="11524" width="14.453125" style="1" bestFit="1" customWidth="1"/>
    <col min="11525" max="11525" width="10.6328125" style="1" bestFit="1" customWidth="1"/>
    <col min="11526" max="11526" width="12.453125" style="1" bestFit="1" customWidth="1"/>
    <col min="11527" max="11769" width="9.1796875" style="1"/>
    <col min="11770" max="11770" width="13.453125" style="1" customWidth="1"/>
    <col min="11771" max="11771" width="71.6328125" style="1" customWidth="1"/>
    <col min="11772" max="11772" width="8" style="1" customWidth="1"/>
    <col min="11773" max="11773" width="10.453125" style="1" customWidth="1"/>
    <col min="11774" max="11774" width="17.1796875" style="1" customWidth="1"/>
    <col min="11775" max="11775" width="22" style="1" customWidth="1"/>
    <col min="11776" max="11776" width="9.1796875" style="1"/>
    <col min="11777" max="11777" width="9.453125" style="1" customWidth="1"/>
    <col min="11778" max="11780" width="14.453125" style="1" bestFit="1" customWidth="1"/>
    <col min="11781" max="11781" width="10.6328125" style="1" bestFit="1" customWidth="1"/>
    <col min="11782" max="11782" width="12.453125" style="1" bestFit="1" customWidth="1"/>
    <col min="11783" max="12025" width="9.1796875" style="1"/>
    <col min="12026" max="12026" width="13.453125" style="1" customWidth="1"/>
    <col min="12027" max="12027" width="71.6328125" style="1" customWidth="1"/>
    <col min="12028" max="12028" width="8" style="1" customWidth="1"/>
    <col min="12029" max="12029" width="10.453125" style="1" customWidth="1"/>
    <col min="12030" max="12030" width="17.1796875" style="1" customWidth="1"/>
    <col min="12031" max="12031" width="22" style="1" customWidth="1"/>
    <col min="12032" max="12032" width="9.1796875" style="1"/>
    <col min="12033" max="12033" width="9.453125" style="1" customWidth="1"/>
    <col min="12034" max="12036" width="14.453125" style="1" bestFit="1" customWidth="1"/>
    <col min="12037" max="12037" width="10.6328125" style="1" bestFit="1" customWidth="1"/>
    <col min="12038" max="12038" width="12.453125" style="1" bestFit="1" customWidth="1"/>
    <col min="12039" max="12281" width="9.1796875" style="1"/>
    <col min="12282" max="12282" width="13.453125" style="1" customWidth="1"/>
    <col min="12283" max="12283" width="71.6328125" style="1" customWidth="1"/>
    <col min="12284" max="12284" width="8" style="1" customWidth="1"/>
    <col min="12285" max="12285" width="10.453125" style="1" customWidth="1"/>
    <col min="12286" max="12286" width="17.1796875" style="1" customWidth="1"/>
    <col min="12287" max="12287" width="22" style="1" customWidth="1"/>
    <col min="12288" max="12288" width="9.1796875" style="1"/>
    <col min="12289" max="12289" width="9.453125" style="1" customWidth="1"/>
    <col min="12290" max="12292" width="14.453125" style="1" bestFit="1" customWidth="1"/>
    <col min="12293" max="12293" width="10.6328125" style="1" bestFit="1" customWidth="1"/>
    <col min="12294" max="12294" width="12.453125" style="1" bestFit="1" customWidth="1"/>
    <col min="12295" max="12537" width="9.1796875" style="1"/>
    <col min="12538" max="12538" width="13.453125" style="1" customWidth="1"/>
    <col min="12539" max="12539" width="71.6328125" style="1" customWidth="1"/>
    <col min="12540" max="12540" width="8" style="1" customWidth="1"/>
    <col min="12541" max="12541" width="10.453125" style="1" customWidth="1"/>
    <col min="12542" max="12542" width="17.1796875" style="1" customWidth="1"/>
    <col min="12543" max="12543" width="22" style="1" customWidth="1"/>
    <col min="12544" max="12544" width="9.1796875" style="1"/>
    <col min="12545" max="12545" width="9.453125" style="1" customWidth="1"/>
    <col min="12546" max="12548" width="14.453125" style="1" bestFit="1" customWidth="1"/>
    <col min="12549" max="12549" width="10.6328125" style="1" bestFit="1" customWidth="1"/>
    <col min="12550" max="12550" width="12.453125" style="1" bestFit="1" customWidth="1"/>
    <col min="12551" max="12793" width="9.1796875" style="1"/>
    <col min="12794" max="12794" width="13.453125" style="1" customWidth="1"/>
    <col min="12795" max="12795" width="71.6328125" style="1" customWidth="1"/>
    <col min="12796" max="12796" width="8" style="1" customWidth="1"/>
    <col min="12797" max="12797" width="10.453125" style="1" customWidth="1"/>
    <col min="12798" max="12798" width="17.1796875" style="1" customWidth="1"/>
    <col min="12799" max="12799" width="22" style="1" customWidth="1"/>
    <col min="12800" max="12800" width="9.1796875" style="1"/>
    <col min="12801" max="12801" width="9.453125" style="1" customWidth="1"/>
    <col min="12802" max="12804" width="14.453125" style="1" bestFit="1" customWidth="1"/>
    <col min="12805" max="12805" width="10.6328125" style="1" bestFit="1" customWidth="1"/>
    <col min="12806" max="12806" width="12.453125" style="1" bestFit="1" customWidth="1"/>
    <col min="12807" max="13049" width="9.1796875" style="1"/>
    <col min="13050" max="13050" width="13.453125" style="1" customWidth="1"/>
    <col min="13051" max="13051" width="71.6328125" style="1" customWidth="1"/>
    <col min="13052" max="13052" width="8" style="1" customWidth="1"/>
    <col min="13053" max="13053" width="10.453125" style="1" customWidth="1"/>
    <col min="13054" max="13054" width="17.1796875" style="1" customWidth="1"/>
    <col min="13055" max="13055" width="22" style="1" customWidth="1"/>
    <col min="13056" max="13056" width="9.1796875" style="1"/>
    <col min="13057" max="13057" width="9.453125" style="1" customWidth="1"/>
    <col min="13058" max="13060" width="14.453125" style="1" bestFit="1" customWidth="1"/>
    <col min="13061" max="13061" width="10.6328125" style="1" bestFit="1" customWidth="1"/>
    <col min="13062" max="13062" width="12.453125" style="1" bestFit="1" customWidth="1"/>
    <col min="13063" max="13305" width="9.1796875" style="1"/>
    <col min="13306" max="13306" width="13.453125" style="1" customWidth="1"/>
    <col min="13307" max="13307" width="71.6328125" style="1" customWidth="1"/>
    <col min="13308" max="13308" width="8" style="1" customWidth="1"/>
    <col min="13309" max="13309" width="10.453125" style="1" customWidth="1"/>
    <col min="13310" max="13310" width="17.1796875" style="1" customWidth="1"/>
    <col min="13311" max="13311" width="22" style="1" customWidth="1"/>
    <col min="13312" max="13312" width="9.1796875" style="1"/>
    <col min="13313" max="13313" width="9.453125" style="1" customWidth="1"/>
    <col min="13314" max="13316" width="14.453125" style="1" bestFit="1" customWidth="1"/>
    <col min="13317" max="13317" width="10.6328125" style="1" bestFit="1" customWidth="1"/>
    <col min="13318" max="13318" width="12.453125" style="1" bestFit="1" customWidth="1"/>
    <col min="13319" max="13561" width="9.1796875" style="1"/>
    <col min="13562" max="13562" width="13.453125" style="1" customWidth="1"/>
    <col min="13563" max="13563" width="71.6328125" style="1" customWidth="1"/>
    <col min="13564" max="13564" width="8" style="1" customWidth="1"/>
    <col min="13565" max="13565" width="10.453125" style="1" customWidth="1"/>
    <col min="13566" max="13566" width="17.1796875" style="1" customWidth="1"/>
    <col min="13567" max="13567" width="22" style="1" customWidth="1"/>
    <col min="13568" max="13568" width="9.1796875" style="1"/>
    <col min="13569" max="13569" width="9.453125" style="1" customWidth="1"/>
    <col min="13570" max="13572" width="14.453125" style="1" bestFit="1" customWidth="1"/>
    <col min="13573" max="13573" width="10.6328125" style="1" bestFit="1" customWidth="1"/>
    <col min="13574" max="13574" width="12.453125" style="1" bestFit="1" customWidth="1"/>
    <col min="13575" max="13817" width="9.1796875" style="1"/>
    <col min="13818" max="13818" width="13.453125" style="1" customWidth="1"/>
    <col min="13819" max="13819" width="71.6328125" style="1" customWidth="1"/>
    <col min="13820" max="13820" width="8" style="1" customWidth="1"/>
    <col min="13821" max="13821" width="10.453125" style="1" customWidth="1"/>
    <col min="13822" max="13822" width="17.1796875" style="1" customWidth="1"/>
    <col min="13823" max="13823" width="22" style="1" customWidth="1"/>
    <col min="13824" max="13824" width="9.1796875" style="1"/>
    <col min="13825" max="13825" width="9.453125" style="1" customWidth="1"/>
    <col min="13826" max="13828" width="14.453125" style="1" bestFit="1" customWidth="1"/>
    <col min="13829" max="13829" width="10.6328125" style="1" bestFit="1" customWidth="1"/>
    <col min="13830" max="13830" width="12.453125" style="1" bestFit="1" customWidth="1"/>
    <col min="13831" max="14073" width="9.1796875" style="1"/>
    <col min="14074" max="14074" width="13.453125" style="1" customWidth="1"/>
    <col min="14075" max="14075" width="71.6328125" style="1" customWidth="1"/>
    <col min="14076" max="14076" width="8" style="1" customWidth="1"/>
    <col min="14077" max="14077" width="10.453125" style="1" customWidth="1"/>
    <col min="14078" max="14078" width="17.1796875" style="1" customWidth="1"/>
    <col min="14079" max="14079" width="22" style="1" customWidth="1"/>
    <col min="14080" max="14080" width="9.1796875" style="1"/>
    <col min="14081" max="14081" width="9.453125" style="1" customWidth="1"/>
    <col min="14082" max="14084" width="14.453125" style="1" bestFit="1" customWidth="1"/>
    <col min="14085" max="14085" width="10.6328125" style="1" bestFit="1" customWidth="1"/>
    <col min="14086" max="14086" width="12.453125" style="1" bestFit="1" customWidth="1"/>
    <col min="14087" max="14329" width="9.1796875" style="1"/>
    <col min="14330" max="14330" width="13.453125" style="1" customWidth="1"/>
    <col min="14331" max="14331" width="71.6328125" style="1" customWidth="1"/>
    <col min="14332" max="14332" width="8" style="1" customWidth="1"/>
    <col min="14333" max="14333" width="10.453125" style="1" customWidth="1"/>
    <col min="14334" max="14334" width="17.1796875" style="1" customWidth="1"/>
    <col min="14335" max="14335" width="22" style="1" customWidth="1"/>
    <col min="14336" max="14336" width="9.1796875" style="1"/>
    <col min="14337" max="14337" width="9.453125" style="1" customWidth="1"/>
    <col min="14338" max="14340" width="14.453125" style="1" bestFit="1" customWidth="1"/>
    <col min="14341" max="14341" width="10.6328125" style="1" bestFit="1" customWidth="1"/>
    <col min="14342" max="14342" width="12.453125" style="1" bestFit="1" customWidth="1"/>
    <col min="14343" max="14585" width="9.1796875" style="1"/>
    <col min="14586" max="14586" width="13.453125" style="1" customWidth="1"/>
    <col min="14587" max="14587" width="71.6328125" style="1" customWidth="1"/>
    <col min="14588" max="14588" width="8" style="1" customWidth="1"/>
    <col min="14589" max="14589" width="10.453125" style="1" customWidth="1"/>
    <col min="14590" max="14590" width="17.1796875" style="1" customWidth="1"/>
    <col min="14591" max="14591" width="22" style="1" customWidth="1"/>
    <col min="14592" max="14592" width="9.1796875" style="1"/>
    <col min="14593" max="14593" width="9.453125" style="1" customWidth="1"/>
    <col min="14594" max="14596" width="14.453125" style="1" bestFit="1" customWidth="1"/>
    <col min="14597" max="14597" width="10.6328125" style="1" bestFit="1" customWidth="1"/>
    <col min="14598" max="14598" width="12.453125" style="1" bestFit="1" customWidth="1"/>
    <col min="14599" max="14841" width="9.1796875" style="1"/>
    <col min="14842" max="14842" width="13.453125" style="1" customWidth="1"/>
    <col min="14843" max="14843" width="71.6328125" style="1" customWidth="1"/>
    <col min="14844" max="14844" width="8" style="1" customWidth="1"/>
    <col min="14845" max="14845" width="10.453125" style="1" customWidth="1"/>
    <col min="14846" max="14846" width="17.1796875" style="1" customWidth="1"/>
    <col min="14847" max="14847" width="22" style="1" customWidth="1"/>
    <col min="14848" max="14848" width="9.1796875" style="1"/>
    <col min="14849" max="14849" width="9.453125" style="1" customWidth="1"/>
    <col min="14850" max="14852" width="14.453125" style="1" bestFit="1" customWidth="1"/>
    <col min="14853" max="14853" width="10.6328125" style="1" bestFit="1" customWidth="1"/>
    <col min="14854" max="14854" width="12.453125" style="1" bestFit="1" customWidth="1"/>
    <col min="14855" max="15097" width="9.1796875" style="1"/>
    <col min="15098" max="15098" width="13.453125" style="1" customWidth="1"/>
    <col min="15099" max="15099" width="71.6328125" style="1" customWidth="1"/>
    <col min="15100" max="15100" width="8" style="1" customWidth="1"/>
    <col min="15101" max="15101" width="10.453125" style="1" customWidth="1"/>
    <col min="15102" max="15102" width="17.1796875" style="1" customWidth="1"/>
    <col min="15103" max="15103" width="22" style="1" customWidth="1"/>
    <col min="15104" max="15104" width="9.1796875" style="1"/>
    <col min="15105" max="15105" width="9.453125" style="1" customWidth="1"/>
    <col min="15106" max="15108" width="14.453125" style="1" bestFit="1" customWidth="1"/>
    <col min="15109" max="15109" width="10.6328125" style="1" bestFit="1" customWidth="1"/>
    <col min="15110" max="15110" width="12.453125" style="1" bestFit="1" customWidth="1"/>
    <col min="15111" max="15353" width="9.1796875" style="1"/>
    <col min="15354" max="15354" width="13.453125" style="1" customWidth="1"/>
    <col min="15355" max="15355" width="71.6328125" style="1" customWidth="1"/>
    <col min="15356" max="15356" width="8" style="1" customWidth="1"/>
    <col min="15357" max="15357" width="10.453125" style="1" customWidth="1"/>
    <col min="15358" max="15358" width="17.1796875" style="1" customWidth="1"/>
    <col min="15359" max="15359" width="22" style="1" customWidth="1"/>
    <col min="15360" max="15360" width="9.1796875" style="1"/>
    <col min="15361" max="15361" width="9.453125" style="1" customWidth="1"/>
    <col min="15362" max="15364" width="14.453125" style="1" bestFit="1" customWidth="1"/>
    <col min="15365" max="15365" width="10.6328125" style="1" bestFit="1" customWidth="1"/>
    <col min="15366" max="15366" width="12.453125" style="1" bestFit="1" customWidth="1"/>
    <col min="15367" max="15609" width="9.1796875" style="1"/>
    <col min="15610" max="15610" width="13.453125" style="1" customWidth="1"/>
    <col min="15611" max="15611" width="71.6328125" style="1" customWidth="1"/>
    <col min="15612" max="15612" width="8" style="1" customWidth="1"/>
    <col min="15613" max="15613" width="10.453125" style="1" customWidth="1"/>
    <col min="15614" max="15614" width="17.1796875" style="1" customWidth="1"/>
    <col min="15615" max="15615" width="22" style="1" customWidth="1"/>
    <col min="15616" max="15616" width="9.1796875" style="1"/>
    <col min="15617" max="15617" width="9.453125" style="1" customWidth="1"/>
    <col min="15618" max="15620" width="14.453125" style="1" bestFit="1" customWidth="1"/>
    <col min="15621" max="15621" width="10.6328125" style="1" bestFit="1" customWidth="1"/>
    <col min="15622" max="15622" width="12.453125" style="1" bestFit="1" customWidth="1"/>
    <col min="15623" max="15865" width="9.1796875" style="1"/>
    <col min="15866" max="15866" width="13.453125" style="1" customWidth="1"/>
    <col min="15867" max="15867" width="71.6328125" style="1" customWidth="1"/>
    <col min="15868" max="15868" width="8" style="1" customWidth="1"/>
    <col min="15869" max="15869" width="10.453125" style="1" customWidth="1"/>
    <col min="15870" max="15870" width="17.1796875" style="1" customWidth="1"/>
    <col min="15871" max="15871" width="22" style="1" customWidth="1"/>
    <col min="15872" max="15872" width="9.1796875" style="1"/>
    <col min="15873" max="15873" width="9.453125" style="1" customWidth="1"/>
    <col min="15874" max="15876" width="14.453125" style="1" bestFit="1" customWidth="1"/>
    <col min="15877" max="15877" width="10.6328125" style="1" bestFit="1" customWidth="1"/>
    <col min="15878" max="15878" width="12.453125" style="1" bestFit="1" customWidth="1"/>
    <col min="15879" max="16121" width="9.1796875" style="1"/>
    <col min="16122" max="16122" width="13.453125" style="1" customWidth="1"/>
    <col min="16123" max="16123" width="71.6328125" style="1" customWidth="1"/>
    <col min="16124" max="16124" width="8" style="1" customWidth="1"/>
    <col min="16125" max="16125" width="10.453125" style="1" customWidth="1"/>
    <col min="16126" max="16126" width="17.1796875" style="1" customWidth="1"/>
    <col min="16127" max="16127" width="22" style="1" customWidth="1"/>
    <col min="16128" max="16128" width="9.1796875" style="1"/>
    <col min="16129" max="16129" width="9.453125" style="1" customWidth="1"/>
    <col min="16130" max="16132" width="14.453125" style="1" bestFit="1" customWidth="1"/>
    <col min="16133" max="16133" width="10.6328125" style="1" bestFit="1" customWidth="1"/>
    <col min="16134" max="16134" width="12.453125" style="1" bestFit="1" customWidth="1"/>
    <col min="16135" max="16384" width="9.1796875" style="1"/>
  </cols>
  <sheetData>
    <row r="1" spans="1:6">
      <c r="A1" s="221"/>
      <c r="B1" s="221"/>
      <c r="C1" s="221"/>
    </row>
    <row r="2" spans="1:6">
      <c r="A2" s="222"/>
      <c r="B2" s="222"/>
      <c r="C2" s="222"/>
    </row>
    <row r="3" spans="1:6">
      <c r="B3" s="1"/>
    </row>
    <row r="4" spans="1:6">
      <c r="A4" s="221" t="s">
        <v>6</v>
      </c>
      <c r="B4" s="221"/>
      <c r="C4" s="221"/>
    </row>
    <row r="5" spans="1:6" ht="23.5" thickBot="1">
      <c r="A5" s="220"/>
      <c r="B5" s="220"/>
      <c r="C5" s="220"/>
    </row>
    <row r="6" spans="1:6" ht="23.5" thickTop="1">
      <c r="A6" s="3" t="s">
        <v>443</v>
      </c>
      <c r="B6" s="4" t="s">
        <v>7</v>
      </c>
      <c r="C6" s="5">
        <f>BOQ!F20</f>
        <v>0</v>
      </c>
    </row>
    <row r="7" spans="1:6">
      <c r="A7" s="3" t="s">
        <v>444</v>
      </c>
      <c r="B7" s="4" t="s">
        <v>7</v>
      </c>
      <c r="C7" s="5">
        <f>BOQ!F29</f>
        <v>0</v>
      </c>
    </row>
    <row r="8" spans="1:6">
      <c r="A8" s="3" t="s">
        <v>445</v>
      </c>
      <c r="B8" s="4" t="s">
        <v>7</v>
      </c>
      <c r="C8" s="5">
        <f>BOQ!F89</f>
        <v>0</v>
      </c>
    </row>
    <row r="9" spans="1:6">
      <c r="A9" s="3" t="s">
        <v>446</v>
      </c>
      <c r="B9" s="4" t="s">
        <v>7</v>
      </c>
      <c r="C9" s="5">
        <f>BOQ!F109</f>
        <v>0</v>
      </c>
    </row>
    <row r="10" spans="1:6">
      <c r="A10" s="3" t="s">
        <v>447</v>
      </c>
      <c r="B10" s="4" t="s">
        <v>7</v>
      </c>
      <c r="C10" s="5">
        <f>BOQ!F129</f>
        <v>0</v>
      </c>
    </row>
    <row r="11" spans="1:6">
      <c r="A11" s="3" t="s">
        <v>448</v>
      </c>
      <c r="B11" s="4" t="s">
        <v>7</v>
      </c>
      <c r="C11" s="5">
        <f>BOQ!F134</f>
        <v>0</v>
      </c>
    </row>
    <row r="12" spans="1:6">
      <c r="A12" s="3" t="s">
        <v>449</v>
      </c>
      <c r="B12" s="4" t="s">
        <v>7</v>
      </c>
      <c r="C12" s="5">
        <f>BOQ!F153</f>
        <v>0</v>
      </c>
    </row>
    <row r="13" spans="1:6">
      <c r="A13" s="3" t="s">
        <v>450</v>
      </c>
      <c r="B13" s="4" t="s">
        <v>7</v>
      </c>
      <c r="C13" s="5">
        <f>BOQ!F176</f>
        <v>0</v>
      </c>
    </row>
    <row r="14" spans="1:6">
      <c r="A14" s="3" t="s">
        <v>466</v>
      </c>
      <c r="B14" s="4" t="s">
        <v>7</v>
      </c>
      <c r="C14" s="5">
        <f>BOQ!F181</f>
        <v>0</v>
      </c>
    </row>
    <row r="15" spans="1:6" ht="23.5" thickBot="1">
      <c r="A15" s="6" t="s">
        <v>45</v>
      </c>
      <c r="B15" s="7" t="s">
        <v>7</v>
      </c>
      <c r="C15" s="8">
        <f>SUM(C6:C14)</f>
        <v>0</v>
      </c>
      <c r="D15" s="26"/>
    </row>
    <row r="16" spans="1:6" ht="24" thickTop="1" thickBot="1">
      <c r="A16" s="6" t="s">
        <v>48</v>
      </c>
      <c r="B16" s="7" t="s">
        <v>7</v>
      </c>
      <c r="C16" s="8">
        <f>C15*0.15</f>
        <v>0</v>
      </c>
      <c r="D16" s="26"/>
      <c r="E16" s="26"/>
      <c r="F16" s="35"/>
    </row>
    <row r="17" spans="1:4" ht="24" thickTop="1" thickBot="1">
      <c r="A17" s="6"/>
      <c r="B17" s="7"/>
      <c r="C17" s="8"/>
      <c r="D17" s="26"/>
    </row>
    <row r="18" spans="1:4" ht="24" thickTop="1" thickBot="1">
      <c r="A18" s="6" t="s">
        <v>49</v>
      </c>
      <c r="B18" s="7" t="s">
        <v>7</v>
      </c>
      <c r="C18" s="8">
        <f>C15+C16</f>
        <v>0</v>
      </c>
      <c r="D18" s="26"/>
    </row>
    <row r="19" spans="1:4" ht="23.5" thickTop="1"/>
    <row r="32" spans="1:4">
      <c r="A32" s="223"/>
      <c r="B32" s="224"/>
      <c r="C32" s="225"/>
    </row>
    <row r="641" spans="5:5">
      <c r="E641" s="1">
        <v>2660</v>
      </c>
    </row>
    <row r="722" spans="4:5">
      <c r="D722" s="1">
        <v>60</v>
      </c>
      <c r="E722" s="1">
        <v>28500</v>
      </c>
    </row>
    <row r="729" spans="4:5">
      <c r="D729" s="1">
        <v>60</v>
      </c>
    </row>
  </sheetData>
  <mergeCells count="5">
    <mergeCell ref="A5:C5"/>
    <mergeCell ref="A1:C1"/>
    <mergeCell ref="A2:C2"/>
    <mergeCell ref="A4:C4"/>
    <mergeCell ref="A32:C32"/>
  </mergeCells>
  <pageMargins left="0.70866141732283505" right="0.70866141732283505" top="0.74803149606299202" bottom="0.74803149606299202" header="0.31496062992126" footer="0.31496062992126"/>
  <pageSetup scale="74" fitToHeight="0" orientation="portrait" r:id="rId1"/>
  <headerFooter>
    <oddHeader>&amp;A</oddHeader>
    <oddFooter>&amp;CPage &amp;P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81"/>
  <sheetViews>
    <sheetView view="pageBreakPreview" topLeftCell="A176" zoomScaleNormal="80" zoomScaleSheetLayoutView="100" workbookViewId="0">
      <selection activeCell="B180" sqref="B180"/>
    </sheetView>
  </sheetViews>
  <sheetFormatPr defaultColWidth="9.1796875" defaultRowHeight="14.5"/>
  <cols>
    <col min="1" max="1" width="11.6328125" style="15" customWidth="1"/>
    <col min="2" max="2" width="64.36328125" style="9" customWidth="1"/>
    <col min="3" max="3" width="7.36328125" style="33" customWidth="1"/>
    <col min="4" max="4" width="10.453125" style="10" bestFit="1" customWidth="1"/>
    <col min="5" max="5" width="11.6328125" style="31" customWidth="1"/>
    <col min="6" max="6" width="13.6328125" style="31" bestFit="1" customWidth="1"/>
    <col min="7" max="7" width="11.36328125" style="9" bestFit="1" customWidth="1"/>
    <col min="8" max="8" width="12.453125" style="9" bestFit="1" customWidth="1"/>
    <col min="9" max="9" width="9.1796875" style="9"/>
    <col min="10" max="10" width="12.453125" style="9" bestFit="1" customWidth="1"/>
    <col min="11" max="11" width="9.1796875" style="9"/>
    <col min="12" max="12" width="11.6328125" style="9" bestFit="1" customWidth="1"/>
    <col min="13" max="13" width="11.36328125" style="9" bestFit="1" customWidth="1"/>
    <col min="14" max="16384" width="9.1796875" style="9"/>
  </cols>
  <sheetData>
    <row r="1" spans="1:10" s="31" customFormat="1" ht="15" thickBot="1">
      <c r="A1" s="226" t="s">
        <v>102</v>
      </c>
      <c r="B1" s="226"/>
      <c r="C1" s="226"/>
      <c r="D1" s="226"/>
      <c r="E1" s="226"/>
      <c r="F1" s="226"/>
      <c r="G1" s="30"/>
    </row>
    <row r="2" spans="1:10" ht="15" thickBot="1">
      <c r="A2" s="16" t="s">
        <v>0</v>
      </c>
      <c r="B2" s="17" t="s">
        <v>1</v>
      </c>
      <c r="C2" s="27" t="s">
        <v>2</v>
      </c>
      <c r="D2" s="34" t="s">
        <v>3</v>
      </c>
      <c r="E2" s="28" t="s">
        <v>4</v>
      </c>
      <c r="F2" s="28" t="s">
        <v>3</v>
      </c>
    </row>
    <row r="3" spans="1:10" s="23" customFormat="1">
      <c r="A3" s="112" t="s">
        <v>312</v>
      </c>
      <c r="B3" s="113" t="s">
        <v>123</v>
      </c>
      <c r="C3" s="114"/>
      <c r="D3" s="115"/>
      <c r="E3" s="116"/>
      <c r="F3" s="117"/>
    </row>
    <row r="4" spans="1:10" s="23" customFormat="1">
      <c r="A4" s="36" t="s">
        <v>313</v>
      </c>
      <c r="B4" s="18" t="s">
        <v>124</v>
      </c>
      <c r="C4" s="19"/>
      <c r="D4" s="20"/>
      <c r="E4" s="21"/>
      <c r="F4" s="22"/>
    </row>
    <row r="5" spans="1:10" ht="265" customHeight="1">
      <c r="A5" s="36"/>
      <c r="B5" s="124" t="s">
        <v>125</v>
      </c>
      <c r="C5" s="125"/>
      <c r="D5" s="12"/>
      <c r="E5" s="2"/>
      <c r="F5" s="2"/>
    </row>
    <row r="6" spans="1:10" s="23" customFormat="1" ht="34" customHeight="1">
      <c r="A6" s="36" t="s">
        <v>314</v>
      </c>
      <c r="B6" s="126" t="s">
        <v>126</v>
      </c>
      <c r="C6" s="19"/>
      <c r="D6" s="20"/>
      <c r="E6" s="21"/>
      <c r="F6" s="22"/>
    </row>
    <row r="7" spans="1:10" ht="16.5">
      <c r="A7" s="127" t="s">
        <v>315</v>
      </c>
      <c r="B7" s="128" t="s">
        <v>129</v>
      </c>
      <c r="C7" s="125" t="s">
        <v>44</v>
      </c>
      <c r="D7" s="129">
        <f>SUM(D15:D19)*0.15</f>
        <v>29.25</v>
      </c>
      <c r="E7" s="2"/>
      <c r="F7" s="2">
        <f>D7*E7</f>
        <v>0</v>
      </c>
      <c r="G7" s="130"/>
      <c r="H7" s="130"/>
      <c r="I7" s="130"/>
      <c r="J7" s="32"/>
    </row>
    <row r="8" spans="1:10" s="23" customFormat="1" ht="49" customHeight="1">
      <c r="A8" s="36" t="s">
        <v>316</v>
      </c>
      <c r="B8" s="126" t="s">
        <v>127</v>
      </c>
      <c r="C8" s="19"/>
      <c r="D8" s="20"/>
      <c r="E8" s="21"/>
      <c r="F8" s="22"/>
    </row>
    <row r="9" spans="1:10" ht="29">
      <c r="A9" s="127" t="s">
        <v>317</v>
      </c>
      <c r="B9" s="128" t="s">
        <v>306</v>
      </c>
      <c r="C9" s="125"/>
      <c r="D9" s="129"/>
      <c r="E9" s="2"/>
      <c r="F9" s="2"/>
    </row>
    <row r="10" spans="1:10" ht="16.5">
      <c r="A10" s="127" t="s">
        <v>318</v>
      </c>
      <c r="B10" s="128" t="s">
        <v>226</v>
      </c>
      <c r="C10" s="125" t="s">
        <v>44</v>
      </c>
      <c r="D10" s="129">
        <f>8*2</f>
        <v>16</v>
      </c>
      <c r="E10" s="2"/>
      <c r="F10" s="2">
        <f t="shared" ref="F10:F12" si="0">D10*E10</f>
        <v>0</v>
      </c>
    </row>
    <row r="11" spans="1:10" ht="16.5">
      <c r="A11" s="127" t="s">
        <v>319</v>
      </c>
      <c r="B11" s="128" t="s">
        <v>227</v>
      </c>
      <c r="C11" s="125" t="s">
        <v>44</v>
      </c>
      <c r="D11" s="129">
        <f>3*15</f>
        <v>45</v>
      </c>
      <c r="E11" s="2"/>
      <c r="F11" s="2">
        <f t="shared" si="0"/>
        <v>0</v>
      </c>
    </row>
    <row r="12" spans="1:10" ht="16.5">
      <c r="A12" s="127" t="s">
        <v>320</v>
      </c>
      <c r="B12" s="128" t="s">
        <v>228</v>
      </c>
      <c r="C12" s="125" t="s">
        <v>44</v>
      </c>
      <c r="D12" s="129">
        <f>3*10</f>
        <v>30</v>
      </c>
      <c r="E12" s="2"/>
      <c r="F12" s="2">
        <f t="shared" si="0"/>
        <v>0</v>
      </c>
    </row>
    <row r="13" spans="1:10" ht="16.5">
      <c r="A13" s="127" t="s">
        <v>321</v>
      </c>
      <c r="B13" s="128" t="s">
        <v>230</v>
      </c>
      <c r="C13" s="125" t="s">
        <v>44</v>
      </c>
      <c r="D13" s="129">
        <f>1.4*30</f>
        <v>42</v>
      </c>
      <c r="E13" s="2"/>
      <c r="F13" s="2">
        <f t="shared" ref="F13" si="1">D13*E13</f>
        <v>0</v>
      </c>
    </row>
    <row r="14" spans="1:10">
      <c r="A14" s="127" t="s">
        <v>322</v>
      </c>
      <c r="B14" s="126" t="s">
        <v>274</v>
      </c>
      <c r="C14" s="125"/>
      <c r="D14" s="129"/>
      <c r="E14" s="2"/>
      <c r="F14" s="2">
        <f t="shared" ref="F14:F19" si="2">D14*E14</f>
        <v>0</v>
      </c>
    </row>
    <row r="15" spans="1:10">
      <c r="A15" s="127" t="s">
        <v>323</v>
      </c>
      <c r="B15" s="128" t="s">
        <v>223</v>
      </c>
      <c r="C15" s="125" t="s">
        <v>224</v>
      </c>
      <c r="D15" s="129">
        <f>15*2+20*1</f>
        <v>50</v>
      </c>
      <c r="E15" s="2"/>
      <c r="F15" s="2">
        <f t="shared" si="2"/>
        <v>0</v>
      </c>
    </row>
    <row r="16" spans="1:10">
      <c r="A16" s="127" t="s">
        <v>324</v>
      </c>
      <c r="B16" s="128" t="s">
        <v>225</v>
      </c>
      <c r="C16" s="125" t="s">
        <v>224</v>
      </c>
      <c r="D16" s="129">
        <v>25</v>
      </c>
      <c r="E16" s="2"/>
      <c r="F16" s="2">
        <f t="shared" ref="F16" si="3">D16*E16</f>
        <v>0</v>
      </c>
    </row>
    <row r="17" spans="1:12">
      <c r="A17" s="127" t="s">
        <v>325</v>
      </c>
      <c r="B17" s="128" t="s">
        <v>227</v>
      </c>
      <c r="C17" s="125" t="s">
        <v>224</v>
      </c>
      <c r="D17" s="129">
        <v>45</v>
      </c>
      <c r="E17" s="2"/>
      <c r="F17" s="2">
        <f t="shared" si="2"/>
        <v>0</v>
      </c>
    </row>
    <row r="18" spans="1:12">
      <c r="A18" s="127" t="s">
        <v>326</v>
      </c>
      <c r="B18" s="128" t="s">
        <v>228</v>
      </c>
      <c r="C18" s="125" t="s">
        <v>224</v>
      </c>
      <c r="D18" s="129">
        <v>50</v>
      </c>
      <c r="E18" s="2"/>
      <c r="F18" s="2">
        <f t="shared" si="2"/>
        <v>0</v>
      </c>
    </row>
    <row r="19" spans="1:12" ht="15" thickBot="1">
      <c r="A19" s="127" t="s">
        <v>327</v>
      </c>
      <c r="B19" s="128" t="s">
        <v>230</v>
      </c>
      <c r="C19" s="125" t="s">
        <v>224</v>
      </c>
      <c r="D19" s="129">
        <v>25</v>
      </c>
      <c r="E19" s="2"/>
      <c r="F19" s="2">
        <f t="shared" si="2"/>
        <v>0</v>
      </c>
    </row>
    <row r="20" spans="1:12" s="23" customFormat="1" ht="15" thickBot="1">
      <c r="A20" s="191" t="s">
        <v>312</v>
      </c>
      <c r="B20" s="95" t="s">
        <v>128</v>
      </c>
      <c r="C20" s="96"/>
      <c r="D20" s="97"/>
      <c r="E20" s="98"/>
      <c r="F20" s="99">
        <f>SUM(F5:F19)</f>
        <v>0</v>
      </c>
      <c r="G20" s="131"/>
    </row>
    <row r="21" spans="1:12" s="23" customFormat="1">
      <c r="A21" s="36" t="s">
        <v>122</v>
      </c>
      <c r="B21" s="18" t="s">
        <v>42</v>
      </c>
      <c r="C21" s="19"/>
      <c r="D21" s="20"/>
      <c r="E21" s="21"/>
      <c r="F21" s="22"/>
    </row>
    <row r="22" spans="1:12" s="23" customFormat="1">
      <c r="A22" s="36" t="s">
        <v>331</v>
      </c>
      <c r="B22" s="25" t="s">
        <v>47</v>
      </c>
      <c r="C22" s="19"/>
      <c r="D22" s="20"/>
      <c r="E22" s="21"/>
      <c r="F22" s="22"/>
      <c r="G22" s="9"/>
      <c r="H22" s="9"/>
      <c r="I22" s="9"/>
      <c r="J22" s="9"/>
      <c r="K22" s="9"/>
      <c r="L22" s="9"/>
    </row>
    <row r="23" spans="1:12" ht="47" customHeight="1">
      <c r="A23" s="192" t="s">
        <v>332</v>
      </c>
      <c r="B23" s="38" t="s">
        <v>307</v>
      </c>
      <c r="C23" s="24"/>
      <c r="D23" s="12"/>
      <c r="E23" s="13"/>
      <c r="F23" s="2"/>
    </row>
    <row r="24" spans="1:12">
      <c r="A24" s="127" t="s">
        <v>333</v>
      </c>
      <c r="B24" s="128" t="s">
        <v>151</v>
      </c>
      <c r="C24" s="125" t="s">
        <v>5</v>
      </c>
      <c r="D24" s="129">
        <v>60.97</v>
      </c>
      <c r="E24" s="2"/>
      <c r="F24" s="2">
        <f t="shared" ref="F24:F28" si="4">E24*D24</f>
        <v>0</v>
      </c>
    </row>
    <row r="25" spans="1:12">
      <c r="A25" s="127" t="s">
        <v>334</v>
      </c>
      <c r="B25" s="128" t="s">
        <v>150</v>
      </c>
      <c r="C25" s="125" t="s">
        <v>5</v>
      </c>
      <c r="D25" s="129">
        <f>'TO-1'!C193+'TO-1'!C196+'TO-1'!C199</f>
        <v>91</v>
      </c>
      <c r="E25" s="2"/>
      <c r="F25" s="2">
        <f t="shared" si="4"/>
        <v>0</v>
      </c>
    </row>
    <row r="26" spans="1:12">
      <c r="A26" s="127" t="s">
        <v>335</v>
      </c>
      <c r="B26" s="128" t="s">
        <v>152</v>
      </c>
      <c r="C26" s="125" t="s">
        <v>5</v>
      </c>
      <c r="D26" s="129">
        <v>15</v>
      </c>
      <c r="E26" s="2"/>
      <c r="F26" s="2">
        <f t="shared" si="4"/>
        <v>0</v>
      </c>
    </row>
    <row r="27" spans="1:12">
      <c r="A27" s="127" t="s">
        <v>336</v>
      </c>
      <c r="B27" s="128" t="s">
        <v>153</v>
      </c>
      <c r="C27" s="125" t="s">
        <v>5</v>
      </c>
      <c r="D27" s="129">
        <v>50</v>
      </c>
      <c r="E27" s="2"/>
      <c r="F27" s="2">
        <f t="shared" si="4"/>
        <v>0</v>
      </c>
    </row>
    <row r="28" spans="1:12" ht="16" customHeight="1" thickBot="1">
      <c r="A28" s="127" t="s">
        <v>337</v>
      </c>
      <c r="B28" s="128" t="s">
        <v>272</v>
      </c>
      <c r="C28" s="125" t="s">
        <v>5</v>
      </c>
      <c r="D28" s="129">
        <v>5</v>
      </c>
      <c r="E28" s="2"/>
      <c r="F28" s="2">
        <f t="shared" si="4"/>
        <v>0</v>
      </c>
    </row>
    <row r="29" spans="1:12" s="23" customFormat="1" ht="15" thickBot="1">
      <c r="A29" s="191" t="s">
        <v>122</v>
      </c>
      <c r="B29" s="107" t="s">
        <v>43</v>
      </c>
      <c r="C29" s="108"/>
      <c r="D29" s="109"/>
      <c r="E29" s="110"/>
      <c r="F29" s="111">
        <f>SUM(F22:F28)</f>
        <v>0</v>
      </c>
    </row>
    <row r="30" spans="1:12" s="23" customFormat="1">
      <c r="A30" s="112" t="s">
        <v>338</v>
      </c>
      <c r="B30" s="113" t="s">
        <v>115</v>
      </c>
      <c r="C30" s="114"/>
      <c r="D30" s="115"/>
      <c r="E30" s="116"/>
      <c r="F30" s="117"/>
    </row>
    <row r="31" spans="1:12" s="23" customFormat="1">
      <c r="A31" s="36" t="s">
        <v>339</v>
      </c>
      <c r="B31" s="18" t="s">
        <v>117</v>
      </c>
      <c r="C31" s="19"/>
      <c r="D31" s="20"/>
      <c r="E31" s="21"/>
      <c r="F31" s="22"/>
    </row>
    <row r="32" spans="1:12" s="23" customFormat="1" ht="91" customHeight="1">
      <c r="A32" s="118"/>
      <c r="B32" s="119" t="s">
        <v>308</v>
      </c>
      <c r="C32" s="87"/>
      <c r="D32" s="120"/>
      <c r="E32" s="121"/>
      <c r="F32" s="122"/>
    </row>
    <row r="33" spans="1:6" s="23" customFormat="1" ht="91" customHeight="1">
      <c r="A33" s="118"/>
      <c r="B33" s="119" t="s">
        <v>118</v>
      </c>
      <c r="C33" s="87"/>
      <c r="D33" s="120"/>
      <c r="E33" s="121"/>
      <c r="F33" s="122"/>
    </row>
    <row r="34" spans="1:6" s="168" customFormat="1" ht="25" customHeight="1">
      <c r="A34" s="118" t="s">
        <v>340</v>
      </c>
      <c r="B34" s="167" t="s">
        <v>178</v>
      </c>
      <c r="C34" s="87"/>
      <c r="D34" s="88"/>
      <c r="E34" s="89"/>
      <c r="F34" s="90"/>
    </row>
    <row r="35" spans="1:6" ht="19" customHeight="1">
      <c r="A35" s="127" t="s">
        <v>341</v>
      </c>
      <c r="B35" s="128" t="s">
        <v>233</v>
      </c>
      <c r="C35" s="125" t="s">
        <v>120</v>
      </c>
      <c r="D35" s="129">
        <v>1</v>
      </c>
      <c r="E35" s="2"/>
      <c r="F35" s="2">
        <f>D35*E35</f>
        <v>0</v>
      </c>
    </row>
    <row r="36" spans="1:6" ht="19" customHeight="1">
      <c r="A36" s="127" t="s">
        <v>342</v>
      </c>
      <c r="B36" s="128" t="s">
        <v>234</v>
      </c>
      <c r="C36" s="125" t="s">
        <v>120</v>
      </c>
      <c r="D36" s="129">
        <v>1</v>
      </c>
      <c r="E36" s="2"/>
      <c r="F36" s="2">
        <f t="shared" ref="F36:F81" si="5">D36*E36</f>
        <v>0</v>
      </c>
    </row>
    <row r="37" spans="1:6" ht="19" customHeight="1">
      <c r="A37" s="127" t="s">
        <v>343</v>
      </c>
      <c r="B37" s="128" t="s">
        <v>235</v>
      </c>
      <c r="C37" s="125" t="s">
        <v>120</v>
      </c>
      <c r="D37" s="129">
        <v>1</v>
      </c>
      <c r="E37" s="2"/>
      <c r="F37" s="2">
        <f t="shared" si="5"/>
        <v>0</v>
      </c>
    </row>
    <row r="38" spans="1:6" ht="19" customHeight="1">
      <c r="A38" s="127" t="s">
        <v>344</v>
      </c>
      <c r="B38" s="128" t="s">
        <v>236</v>
      </c>
      <c r="C38" s="125" t="s">
        <v>120</v>
      </c>
      <c r="D38" s="129">
        <v>1</v>
      </c>
      <c r="E38" s="2"/>
      <c r="F38" s="2">
        <f t="shared" si="5"/>
        <v>0</v>
      </c>
    </row>
    <row r="39" spans="1:6" ht="19" customHeight="1">
      <c r="A39" s="127" t="s">
        <v>345</v>
      </c>
      <c r="B39" s="128" t="s">
        <v>237</v>
      </c>
      <c r="C39" s="125" t="s">
        <v>120</v>
      </c>
      <c r="D39" s="129">
        <v>1</v>
      </c>
      <c r="E39" s="2"/>
      <c r="F39" s="2">
        <f t="shared" si="5"/>
        <v>0</v>
      </c>
    </row>
    <row r="40" spans="1:6" ht="19" customHeight="1">
      <c r="A40" s="127" t="s">
        <v>346</v>
      </c>
      <c r="B40" s="128" t="s">
        <v>238</v>
      </c>
      <c r="C40" s="125" t="s">
        <v>120</v>
      </c>
      <c r="D40" s="129">
        <v>1</v>
      </c>
      <c r="E40" s="2"/>
      <c r="F40" s="2">
        <f t="shared" si="5"/>
        <v>0</v>
      </c>
    </row>
    <row r="41" spans="1:6" ht="19" customHeight="1">
      <c r="A41" s="127" t="s">
        <v>347</v>
      </c>
      <c r="B41" s="128" t="s">
        <v>239</v>
      </c>
      <c r="C41" s="125" t="s">
        <v>120</v>
      </c>
      <c r="D41" s="129">
        <v>1</v>
      </c>
      <c r="E41" s="2"/>
      <c r="F41" s="2">
        <f t="shared" si="5"/>
        <v>0</v>
      </c>
    </row>
    <row r="42" spans="1:6" ht="19" customHeight="1">
      <c r="A42" s="127" t="s">
        <v>348</v>
      </c>
      <c r="B42" s="128" t="s">
        <v>240</v>
      </c>
      <c r="C42" s="125" t="s">
        <v>120</v>
      </c>
      <c r="D42" s="129">
        <v>1</v>
      </c>
      <c r="E42" s="2"/>
      <c r="F42" s="2">
        <f t="shared" si="5"/>
        <v>0</v>
      </c>
    </row>
    <row r="43" spans="1:6" ht="19" customHeight="1">
      <c r="A43" s="127" t="s">
        <v>349</v>
      </c>
      <c r="B43" s="128" t="s">
        <v>241</v>
      </c>
      <c r="C43" s="125" t="s">
        <v>120</v>
      </c>
      <c r="D43" s="129">
        <v>1</v>
      </c>
      <c r="E43" s="2"/>
      <c r="F43" s="2">
        <f t="shared" si="5"/>
        <v>0</v>
      </c>
    </row>
    <row r="44" spans="1:6" ht="19" customHeight="1">
      <c r="A44" s="127" t="s">
        <v>350</v>
      </c>
      <c r="B44" s="128" t="s">
        <v>242</v>
      </c>
      <c r="C44" s="125" t="s">
        <v>120</v>
      </c>
      <c r="D44" s="129">
        <v>1</v>
      </c>
      <c r="E44" s="2"/>
      <c r="F44" s="2">
        <f t="shared" si="5"/>
        <v>0</v>
      </c>
    </row>
    <row r="45" spans="1:6" ht="19" customHeight="1">
      <c r="A45" s="127" t="s">
        <v>351</v>
      </c>
      <c r="B45" s="128" t="s">
        <v>243</v>
      </c>
      <c r="C45" s="125" t="s">
        <v>120</v>
      </c>
      <c r="D45" s="129">
        <v>1</v>
      </c>
      <c r="E45" s="2"/>
      <c r="F45" s="2">
        <f t="shared" si="5"/>
        <v>0</v>
      </c>
    </row>
    <row r="46" spans="1:6" ht="19" customHeight="1">
      <c r="A46" s="127" t="s">
        <v>352</v>
      </c>
      <c r="B46" s="128" t="s">
        <v>244</v>
      </c>
      <c r="C46" s="125" t="s">
        <v>120</v>
      </c>
      <c r="D46" s="129">
        <v>1</v>
      </c>
      <c r="E46" s="2"/>
      <c r="F46" s="2">
        <f t="shared" si="5"/>
        <v>0</v>
      </c>
    </row>
    <row r="47" spans="1:6" ht="19" customHeight="1">
      <c r="A47" s="127" t="s">
        <v>353</v>
      </c>
      <c r="B47" s="128" t="s">
        <v>245</v>
      </c>
      <c r="C47" s="125" t="s">
        <v>120</v>
      </c>
      <c r="D47" s="129">
        <v>1</v>
      </c>
      <c r="E47" s="2"/>
      <c r="F47" s="2">
        <f t="shared" si="5"/>
        <v>0</v>
      </c>
    </row>
    <row r="48" spans="1:6" s="171" customFormat="1" ht="25" customHeight="1">
      <c r="A48" s="118" t="s">
        <v>354</v>
      </c>
      <c r="B48" s="167" t="s">
        <v>249</v>
      </c>
      <c r="C48" s="169"/>
      <c r="D48" s="170"/>
      <c r="E48" s="2"/>
      <c r="F48" s="2"/>
    </row>
    <row r="49" spans="1:6" ht="19" customHeight="1">
      <c r="A49" s="127" t="s">
        <v>355</v>
      </c>
      <c r="B49" s="128" t="s">
        <v>250</v>
      </c>
      <c r="C49" s="125" t="s">
        <v>120</v>
      </c>
      <c r="D49" s="129">
        <v>1</v>
      </c>
      <c r="E49" s="2"/>
      <c r="F49" s="2">
        <f t="shared" si="5"/>
        <v>0</v>
      </c>
    </row>
    <row r="50" spans="1:6" ht="19" customHeight="1">
      <c r="A50" s="127" t="s">
        <v>356</v>
      </c>
      <c r="B50" s="128" t="s">
        <v>251</v>
      </c>
      <c r="C50" s="125" t="s">
        <v>120</v>
      </c>
      <c r="D50" s="129">
        <v>1</v>
      </c>
      <c r="E50" s="2"/>
      <c r="F50" s="2">
        <f t="shared" si="5"/>
        <v>0</v>
      </c>
    </row>
    <row r="51" spans="1:6" ht="19" customHeight="1">
      <c r="A51" s="127" t="s">
        <v>357</v>
      </c>
      <c r="B51" s="128" t="s">
        <v>252</v>
      </c>
      <c r="C51" s="125" t="s">
        <v>120</v>
      </c>
      <c r="D51" s="129">
        <v>1</v>
      </c>
      <c r="E51" s="2"/>
      <c r="F51" s="2">
        <f t="shared" si="5"/>
        <v>0</v>
      </c>
    </row>
    <row r="52" spans="1:6" ht="19" customHeight="1">
      <c r="A52" s="127" t="s">
        <v>358</v>
      </c>
      <c r="B52" s="128" t="s">
        <v>254</v>
      </c>
      <c r="C52" s="125" t="s">
        <v>120</v>
      </c>
      <c r="D52" s="129">
        <v>1</v>
      </c>
      <c r="E52" s="2"/>
      <c r="F52" s="2">
        <f t="shared" si="5"/>
        <v>0</v>
      </c>
    </row>
    <row r="53" spans="1:6" ht="19" customHeight="1">
      <c r="A53" s="127" t="s">
        <v>359</v>
      </c>
      <c r="B53" s="128" t="s">
        <v>255</v>
      </c>
      <c r="C53" s="125" t="s">
        <v>120</v>
      </c>
      <c r="D53" s="129">
        <v>1</v>
      </c>
      <c r="E53" s="2"/>
      <c r="F53" s="2">
        <f t="shared" si="5"/>
        <v>0</v>
      </c>
    </row>
    <row r="54" spans="1:6" ht="19" customHeight="1">
      <c r="A54" s="127" t="s">
        <v>360</v>
      </c>
      <c r="B54" s="128" t="s">
        <v>256</v>
      </c>
      <c r="C54" s="125" t="s">
        <v>120</v>
      </c>
      <c r="D54" s="129">
        <v>1</v>
      </c>
      <c r="E54" s="2"/>
      <c r="F54" s="2">
        <f t="shared" si="5"/>
        <v>0</v>
      </c>
    </row>
    <row r="55" spans="1:6" ht="19" customHeight="1">
      <c r="A55" s="127" t="s">
        <v>361</v>
      </c>
      <c r="B55" s="128" t="s">
        <v>257</v>
      </c>
      <c r="C55" s="125" t="s">
        <v>120</v>
      </c>
      <c r="D55" s="129">
        <v>1</v>
      </c>
      <c r="E55" s="2"/>
      <c r="F55" s="2">
        <f t="shared" si="5"/>
        <v>0</v>
      </c>
    </row>
    <row r="56" spans="1:6" ht="19" customHeight="1">
      <c r="A56" s="127" t="s">
        <v>362</v>
      </c>
      <c r="B56" s="128" t="s">
        <v>258</v>
      </c>
      <c r="C56" s="125" t="s">
        <v>120</v>
      </c>
      <c r="D56" s="129">
        <v>1</v>
      </c>
      <c r="E56" s="2"/>
      <c r="F56" s="2">
        <f t="shared" si="5"/>
        <v>0</v>
      </c>
    </row>
    <row r="57" spans="1:6" ht="19" customHeight="1">
      <c r="A57" s="127" t="s">
        <v>363</v>
      </c>
      <c r="B57" s="128" t="s">
        <v>259</v>
      </c>
      <c r="C57" s="125" t="s">
        <v>120</v>
      </c>
      <c r="D57" s="129">
        <v>1</v>
      </c>
      <c r="E57" s="2"/>
      <c r="F57" s="2">
        <f t="shared" si="5"/>
        <v>0</v>
      </c>
    </row>
    <row r="58" spans="1:6" ht="19" customHeight="1">
      <c r="A58" s="127" t="s">
        <v>364</v>
      </c>
      <c r="B58" s="128" t="s">
        <v>260</v>
      </c>
      <c r="C58" s="125" t="s">
        <v>120</v>
      </c>
      <c r="D58" s="129">
        <v>1</v>
      </c>
      <c r="E58" s="2"/>
      <c r="F58" s="2">
        <f t="shared" si="5"/>
        <v>0</v>
      </c>
    </row>
    <row r="59" spans="1:6" ht="19" customHeight="1">
      <c r="A59" s="127" t="s">
        <v>365</v>
      </c>
      <c r="B59" s="128" t="s">
        <v>261</v>
      </c>
      <c r="C59" s="125" t="s">
        <v>120</v>
      </c>
      <c r="D59" s="129">
        <v>1</v>
      </c>
      <c r="E59" s="2"/>
      <c r="F59" s="2">
        <f t="shared" si="5"/>
        <v>0</v>
      </c>
    </row>
    <row r="60" spans="1:6" ht="19" customHeight="1">
      <c r="A60" s="127" t="s">
        <v>366</v>
      </c>
      <c r="B60" s="128" t="s">
        <v>300</v>
      </c>
      <c r="C60" s="125" t="s">
        <v>120</v>
      </c>
      <c r="D60" s="129">
        <v>1</v>
      </c>
      <c r="E60" s="2"/>
      <c r="F60" s="2">
        <f t="shared" si="5"/>
        <v>0</v>
      </c>
    </row>
    <row r="61" spans="1:6" ht="19" customHeight="1">
      <c r="A61" s="127" t="s">
        <v>367</v>
      </c>
      <c r="B61" s="128" t="s">
        <v>262</v>
      </c>
      <c r="C61" s="125" t="s">
        <v>120</v>
      </c>
      <c r="D61" s="129">
        <v>1</v>
      </c>
      <c r="E61" s="2"/>
      <c r="F61" s="2">
        <f t="shared" si="5"/>
        <v>0</v>
      </c>
    </row>
    <row r="62" spans="1:6" ht="19" customHeight="1">
      <c r="A62" s="127" t="s">
        <v>368</v>
      </c>
      <c r="B62" s="128" t="s">
        <v>263</v>
      </c>
      <c r="C62" s="125" t="s">
        <v>120</v>
      </c>
      <c r="D62" s="129">
        <v>1</v>
      </c>
      <c r="E62" s="2"/>
      <c r="F62" s="2">
        <f t="shared" si="5"/>
        <v>0</v>
      </c>
    </row>
    <row r="63" spans="1:6" ht="19" customHeight="1">
      <c r="A63" s="127" t="s">
        <v>369</v>
      </c>
      <c r="B63" s="128" t="s">
        <v>264</v>
      </c>
      <c r="C63" s="125" t="s">
        <v>120</v>
      </c>
      <c r="D63" s="129">
        <v>1</v>
      </c>
      <c r="E63" s="2"/>
      <c r="F63" s="2">
        <f t="shared" si="5"/>
        <v>0</v>
      </c>
    </row>
    <row r="64" spans="1:6" ht="19" customHeight="1">
      <c r="A64" s="127" t="s">
        <v>370</v>
      </c>
      <c r="B64" s="128" t="s">
        <v>265</v>
      </c>
      <c r="C64" s="125" t="s">
        <v>120</v>
      </c>
      <c r="D64" s="129">
        <v>1</v>
      </c>
      <c r="E64" s="2"/>
      <c r="F64" s="2">
        <f t="shared" si="5"/>
        <v>0</v>
      </c>
    </row>
    <row r="65" spans="1:6" ht="19" customHeight="1">
      <c r="A65" s="127" t="s">
        <v>371</v>
      </c>
      <c r="B65" s="128" t="s">
        <v>254</v>
      </c>
      <c r="C65" s="125" t="s">
        <v>120</v>
      </c>
      <c r="D65" s="129">
        <v>1</v>
      </c>
      <c r="E65" s="2"/>
      <c r="F65" s="2">
        <f t="shared" si="5"/>
        <v>0</v>
      </c>
    </row>
    <row r="66" spans="1:6" ht="19" customHeight="1">
      <c r="A66" s="127" t="s">
        <v>372</v>
      </c>
      <c r="B66" s="128" t="s">
        <v>260</v>
      </c>
      <c r="C66" s="125" t="s">
        <v>120</v>
      </c>
      <c r="D66" s="129">
        <v>1</v>
      </c>
      <c r="E66" s="2"/>
      <c r="F66" s="2">
        <f t="shared" si="5"/>
        <v>0</v>
      </c>
    </row>
    <row r="67" spans="1:6" ht="19" customHeight="1">
      <c r="A67" s="127" t="s">
        <v>373</v>
      </c>
      <c r="B67" s="128" t="s">
        <v>267</v>
      </c>
      <c r="C67" s="125" t="s">
        <v>120</v>
      </c>
      <c r="D67" s="129">
        <v>1</v>
      </c>
      <c r="E67" s="2"/>
      <c r="F67" s="2">
        <f t="shared" si="5"/>
        <v>0</v>
      </c>
    </row>
    <row r="68" spans="1:6" ht="19" customHeight="1">
      <c r="A68" s="127" t="s">
        <v>374</v>
      </c>
      <c r="B68" s="128" t="s">
        <v>268</v>
      </c>
      <c r="C68" s="125" t="s">
        <v>120</v>
      </c>
      <c r="D68" s="129">
        <v>1</v>
      </c>
      <c r="E68" s="2"/>
      <c r="F68" s="2">
        <f t="shared" si="5"/>
        <v>0</v>
      </c>
    </row>
    <row r="69" spans="1:6" ht="19" customHeight="1">
      <c r="A69" s="127" t="s">
        <v>375</v>
      </c>
      <c r="B69" s="128" t="s">
        <v>269</v>
      </c>
      <c r="C69" s="125" t="s">
        <v>120</v>
      </c>
      <c r="D69" s="129">
        <v>1</v>
      </c>
      <c r="E69" s="2"/>
      <c r="F69" s="2">
        <f t="shared" si="5"/>
        <v>0</v>
      </c>
    </row>
    <row r="70" spans="1:6" ht="19" customHeight="1">
      <c r="A70" s="127" t="s">
        <v>376</v>
      </c>
      <c r="B70" s="128" t="s">
        <v>270</v>
      </c>
      <c r="C70" s="125" t="s">
        <v>120</v>
      </c>
      <c r="D70" s="129">
        <v>1</v>
      </c>
      <c r="E70" s="2"/>
      <c r="F70" s="2">
        <f t="shared" si="5"/>
        <v>0</v>
      </c>
    </row>
    <row r="71" spans="1:6" ht="19" customHeight="1">
      <c r="A71" s="127" t="s">
        <v>377</v>
      </c>
      <c r="B71" s="128" t="s">
        <v>271</v>
      </c>
      <c r="C71" s="125" t="s">
        <v>120</v>
      </c>
      <c r="D71" s="129">
        <v>1</v>
      </c>
      <c r="E71" s="2"/>
      <c r="F71" s="2">
        <f t="shared" si="5"/>
        <v>0</v>
      </c>
    </row>
    <row r="72" spans="1:6" s="171" customFormat="1" ht="25" customHeight="1">
      <c r="A72" s="118" t="s">
        <v>378</v>
      </c>
      <c r="B72" s="167" t="s">
        <v>272</v>
      </c>
      <c r="C72" s="169"/>
      <c r="D72" s="170"/>
      <c r="E72" s="2"/>
      <c r="F72" s="2"/>
    </row>
    <row r="73" spans="1:6" ht="19" customHeight="1">
      <c r="A73" s="127" t="s">
        <v>379</v>
      </c>
      <c r="B73" s="128" t="s">
        <v>273</v>
      </c>
      <c r="C73" s="125" t="s">
        <v>120</v>
      </c>
      <c r="D73" s="129">
        <v>1</v>
      </c>
      <c r="E73" s="2"/>
      <c r="F73" s="2">
        <f t="shared" si="5"/>
        <v>0</v>
      </c>
    </row>
    <row r="74" spans="1:6" s="23" customFormat="1">
      <c r="A74" s="36" t="s">
        <v>380</v>
      </c>
      <c r="B74" s="18" t="s">
        <v>246</v>
      </c>
      <c r="C74" s="19"/>
      <c r="D74" s="20"/>
      <c r="E74" s="21"/>
      <c r="F74" s="2"/>
    </row>
    <row r="75" spans="1:6" s="92" customFormat="1" ht="93" customHeight="1">
      <c r="A75" s="123"/>
      <c r="B75" s="119" t="s">
        <v>328</v>
      </c>
      <c r="C75" s="19"/>
      <c r="D75" s="20"/>
      <c r="E75" s="21"/>
      <c r="F75" s="2"/>
    </row>
    <row r="76" spans="1:6" s="92" customFormat="1" ht="25" customHeight="1">
      <c r="A76" s="118" t="s">
        <v>381</v>
      </c>
      <c r="B76" s="167" t="s">
        <v>178</v>
      </c>
      <c r="C76" s="24"/>
      <c r="D76" s="12"/>
      <c r="E76" s="13"/>
      <c r="F76" s="2"/>
    </row>
    <row r="77" spans="1:6" s="92" customFormat="1">
      <c r="A77" s="86" t="s">
        <v>382</v>
      </c>
      <c r="B77" s="38" t="s">
        <v>247</v>
      </c>
      <c r="C77" s="24" t="s">
        <v>120</v>
      </c>
      <c r="D77" s="12">
        <v>2</v>
      </c>
      <c r="E77" s="13"/>
      <c r="F77" s="2">
        <f t="shared" si="5"/>
        <v>0</v>
      </c>
    </row>
    <row r="78" spans="1:6" s="92" customFormat="1">
      <c r="A78" s="86" t="s">
        <v>383</v>
      </c>
      <c r="B78" s="38" t="s">
        <v>248</v>
      </c>
      <c r="C78" s="24" t="s">
        <v>120</v>
      </c>
      <c r="D78" s="12">
        <v>1</v>
      </c>
      <c r="E78" s="13"/>
      <c r="F78" s="2">
        <f t="shared" si="5"/>
        <v>0</v>
      </c>
    </row>
    <row r="79" spans="1:6" s="92" customFormat="1" ht="25" customHeight="1">
      <c r="A79" s="118" t="s">
        <v>384</v>
      </c>
      <c r="B79" s="167" t="s">
        <v>249</v>
      </c>
      <c r="C79" s="24"/>
      <c r="D79" s="12"/>
      <c r="E79" s="13"/>
      <c r="F79" s="2"/>
    </row>
    <row r="80" spans="1:6" s="92" customFormat="1">
      <c r="A80" s="86" t="s">
        <v>385</v>
      </c>
      <c r="B80" s="38" t="s">
        <v>253</v>
      </c>
      <c r="C80" s="24" t="s">
        <v>120</v>
      </c>
      <c r="D80" s="12">
        <v>2</v>
      </c>
      <c r="E80" s="13"/>
      <c r="F80" s="2">
        <f t="shared" si="5"/>
        <v>0</v>
      </c>
    </row>
    <row r="81" spans="1:26" s="92" customFormat="1">
      <c r="A81" s="86" t="s">
        <v>386</v>
      </c>
      <c r="B81" s="38" t="s">
        <v>266</v>
      </c>
      <c r="C81" s="24" t="s">
        <v>120</v>
      </c>
      <c r="D81" s="12">
        <v>2</v>
      </c>
      <c r="E81" s="13"/>
      <c r="F81" s="2">
        <f t="shared" si="5"/>
        <v>0</v>
      </c>
    </row>
    <row r="82" spans="1:26" customFormat="1" ht="15.75" customHeight="1">
      <c r="A82" s="36" t="s">
        <v>387</v>
      </c>
      <c r="B82" s="85" t="s">
        <v>309</v>
      </c>
      <c r="C82" s="87"/>
      <c r="D82" s="88"/>
      <c r="E82" s="89"/>
      <c r="F82" s="90"/>
      <c r="G82" s="82"/>
      <c r="H82" s="82"/>
      <c r="I82" s="82"/>
      <c r="J82" s="82"/>
      <c r="K82" s="82"/>
      <c r="L82" s="82"/>
      <c r="M82" s="82"/>
      <c r="N82" s="82"/>
      <c r="O82" s="82"/>
      <c r="P82" s="82"/>
      <c r="Q82" s="82"/>
      <c r="R82" s="82"/>
      <c r="S82" s="82"/>
      <c r="T82" s="82"/>
      <c r="U82" s="82"/>
      <c r="V82" s="82"/>
      <c r="W82" s="82"/>
      <c r="X82" s="82"/>
      <c r="Y82" s="82"/>
      <c r="Z82" s="82"/>
    </row>
    <row r="83" spans="1:26" customFormat="1" ht="78" customHeight="1">
      <c r="A83" s="86"/>
      <c r="B83" s="119" t="s">
        <v>420</v>
      </c>
      <c r="C83" s="87"/>
      <c r="D83" s="88"/>
      <c r="E83" s="83"/>
      <c r="F83" s="90"/>
      <c r="G83" s="82"/>
      <c r="H83" s="82"/>
      <c r="I83" s="82"/>
      <c r="J83" s="82"/>
      <c r="K83" s="82"/>
      <c r="L83" s="82"/>
      <c r="M83" s="82"/>
      <c r="N83" s="82"/>
      <c r="O83" s="82"/>
      <c r="P83" s="82"/>
      <c r="Q83" s="82"/>
      <c r="R83" s="82"/>
      <c r="S83" s="82"/>
      <c r="T83" s="82"/>
      <c r="U83" s="82"/>
      <c r="V83" s="82"/>
      <c r="W83" s="82"/>
      <c r="X83" s="82"/>
      <c r="Y83" s="82"/>
      <c r="Z83" s="82"/>
    </row>
    <row r="84" spans="1:26" customFormat="1" ht="15.75" customHeight="1">
      <c r="A84" s="86" t="s">
        <v>388</v>
      </c>
      <c r="B84" s="128" t="s">
        <v>223</v>
      </c>
      <c r="C84" s="188" t="s">
        <v>224</v>
      </c>
      <c r="D84" s="88">
        <f>'TO-1'!C271</f>
        <v>70</v>
      </c>
      <c r="E84" s="83"/>
      <c r="F84" s="90">
        <f>D84*E84</f>
        <v>0</v>
      </c>
      <c r="G84" s="82"/>
      <c r="H84" s="82"/>
      <c r="I84" s="82"/>
      <c r="J84" s="82"/>
      <c r="K84" s="82"/>
      <c r="L84" s="82"/>
      <c r="M84" s="82"/>
      <c r="N84" s="82"/>
      <c r="O84" s="82"/>
      <c r="P84" s="82"/>
      <c r="Q84" s="82"/>
      <c r="R84" s="82"/>
      <c r="S84" s="82"/>
      <c r="T84" s="82"/>
      <c r="U84" s="82"/>
      <c r="V84" s="82"/>
      <c r="W84" s="82"/>
      <c r="X84" s="82"/>
      <c r="Y84" s="82"/>
      <c r="Z84" s="82"/>
    </row>
    <row r="85" spans="1:26" customFormat="1" ht="15.75" customHeight="1">
      <c r="A85" s="86" t="s">
        <v>389</v>
      </c>
      <c r="B85" s="128" t="s">
        <v>225</v>
      </c>
      <c r="C85" s="188" t="s">
        <v>224</v>
      </c>
      <c r="D85" s="88">
        <f>'TO-1'!C277</f>
        <v>25</v>
      </c>
      <c r="E85" s="83"/>
      <c r="F85" s="90">
        <f t="shared" ref="F85" si="6">D85*E85</f>
        <v>0</v>
      </c>
      <c r="G85" s="91"/>
      <c r="H85" s="82"/>
      <c r="I85" s="82"/>
      <c r="J85" s="82"/>
      <c r="K85" s="82"/>
      <c r="L85" s="82"/>
      <c r="M85" s="82"/>
      <c r="N85" s="82"/>
      <c r="O85" s="82"/>
      <c r="P85" s="82"/>
      <c r="Q85" s="82"/>
      <c r="R85" s="82"/>
      <c r="S85" s="82"/>
      <c r="T85" s="82"/>
      <c r="U85" s="82"/>
      <c r="V85" s="82"/>
      <c r="W85" s="82"/>
      <c r="X85" s="82"/>
      <c r="Y85" s="82"/>
      <c r="Z85" s="82"/>
    </row>
    <row r="86" spans="1:26" customFormat="1" ht="15.75" customHeight="1">
      <c r="A86" s="86" t="s">
        <v>390</v>
      </c>
      <c r="B86" s="128" t="s">
        <v>227</v>
      </c>
      <c r="C86" s="188" t="s">
        <v>224</v>
      </c>
      <c r="D86" s="88">
        <f>'TO-1'!C283</f>
        <v>60</v>
      </c>
      <c r="E86" s="83"/>
      <c r="F86" s="90">
        <f>D86*E86</f>
        <v>0</v>
      </c>
      <c r="G86" s="82"/>
      <c r="H86" s="82"/>
      <c r="I86" s="82"/>
      <c r="J86" s="82"/>
      <c r="K86" s="82"/>
      <c r="L86" s="82"/>
      <c r="M86" s="82"/>
      <c r="N86" s="82"/>
      <c r="O86" s="82"/>
      <c r="P86" s="82"/>
      <c r="Q86" s="82"/>
      <c r="R86" s="82"/>
      <c r="S86" s="82"/>
      <c r="T86" s="82"/>
      <c r="U86" s="82"/>
      <c r="V86" s="82"/>
      <c r="W86" s="82"/>
      <c r="X86" s="82"/>
      <c r="Y86" s="82"/>
      <c r="Z86" s="82"/>
    </row>
    <row r="87" spans="1:26" customFormat="1" ht="15.75" customHeight="1">
      <c r="A87" s="86" t="s">
        <v>391</v>
      </c>
      <c r="B87" s="128" t="s">
        <v>228</v>
      </c>
      <c r="C87" s="188" t="s">
        <v>224</v>
      </c>
      <c r="D87" s="88">
        <f>'TO-1'!C293</f>
        <v>60</v>
      </c>
      <c r="E87" s="83"/>
      <c r="F87" s="90">
        <f t="shared" ref="F87" si="7">D87*E87</f>
        <v>0</v>
      </c>
      <c r="G87" s="91"/>
      <c r="H87" s="82"/>
      <c r="I87" s="82"/>
      <c r="J87" s="82"/>
      <c r="K87" s="82"/>
      <c r="L87" s="82"/>
      <c r="M87" s="82"/>
      <c r="N87" s="82"/>
      <c r="O87" s="82"/>
      <c r="P87" s="82"/>
      <c r="Q87" s="82"/>
      <c r="R87" s="82"/>
      <c r="S87" s="82"/>
      <c r="T87" s="82"/>
      <c r="U87" s="82"/>
      <c r="V87" s="82"/>
      <c r="W87" s="82"/>
      <c r="X87" s="82"/>
      <c r="Y87" s="82"/>
      <c r="Z87" s="82"/>
    </row>
    <row r="88" spans="1:26" customFormat="1" ht="15.75" customHeight="1" thickBot="1">
      <c r="A88" s="86" t="s">
        <v>392</v>
      </c>
      <c r="B88" s="128" t="s">
        <v>229</v>
      </c>
      <c r="C88" s="188" t="s">
        <v>224</v>
      </c>
      <c r="D88" s="88">
        <f>'TO-1'!C305</f>
        <v>161</v>
      </c>
      <c r="E88" s="83"/>
      <c r="F88" s="90">
        <f t="shared" ref="F88" si="8">D88*E88</f>
        <v>0</v>
      </c>
      <c r="G88" s="91"/>
      <c r="H88" s="82"/>
      <c r="I88" s="82"/>
      <c r="J88" s="82"/>
      <c r="K88" s="82"/>
      <c r="L88" s="82"/>
      <c r="M88" s="82"/>
      <c r="N88" s="82"/>
      <c r="O88" s="82"/>
      <c r="P88" s="82"/>
      <c r="Q88" s="82"/>
      <c r="R88" s="82"/>
      <c r="S88" s="82"/>
      <c r="T88" s="82"/>
      <c r="U88" s="82"/>
      <c r="V88" s="82"/>
      <c r="W88" s="82"/>
      <c r="X88" s="82"/>
      <c r="Y88" s="82"/>
      <c r="Z88" s="82"/>
    </row>
    <row r="89" spans="1:26" customFormat="1" ht="15.75" customHeight="1" thickBot="1">
      <c r="A89" s="191" t="s">
        <v>338</v>
      </c>
      <c r="B89" s="107" t="s">
        <v>130</v>
      </c>
      <c r="C89" s="108"/>
      <c r="D89" s="109"/>
      <c r="E89" s="110"/>
      <c r="F89" s="111">
        <f>SUM(F35:F88)</f>
        <v>0</v>
      </c>
      <c r="G89" s="84"/>
      <c r="H89" s="84"/>
      <c r="I89" s="84"/>
      <c r="J89" s="84"/>
      <c r="K89" s="84"/>
      <c r="L89" s="84"/>
      <c r="M89" s="84"/>
      <c r="N89" s="84"/>
      <c r="O89" s="84"/>
      <c r="P89" s="84"/>
      <c r="Q89" s="84"/>
      <c r="R89" s="84"/>
      <c r="S89" s="84"/>
      <c r="T89" s="84"/>
      <c r="U89" s="84"/>
      <c r="V89" s="84"/>
      <c r="W89" s="84"/>
      <c r="X89" s="84"/>
      <c r="Y89" s="84"/>
      <c r="Z89" s="84"/>
    </row>
    <row r="90" spans="1:26" s="23" customFormat="1">
      <c r="A90" s="36" t="s">
        <v>393</v>
      </c>
      <c r="B90" s="18" t="s">
        <v>10</v>
      </c>
      <c r="C90" s="19"/>
      <c r="D90" s="20"/>
      <c r="E90" s="21"/>
      <c r="F90" s="22"/>
    </row>
    <row r="91" spans="1:26" customFormat="1" ht="15.75" customHeight="1">
      <c r="A91" s="72" t="s">
        <v>394</v>
      </c>
      <c r="B91" s="73" t="s">
        <v>11</v>
      </c>
      <c r="C91" s="74"/>
      <c r="D91" s="75"/>
      <c r="E91" s="76"/>
      <c r="F91" s="76"/>
      <c r="G91" s="77"/>
      <c r="H91" s="77"/>
      <c r="I91" s="77"/>
      <c r="J91" s="77"/>
      <c r="K91" s="77"/>
      <c r="L91" s="77"/>
      <c r="M91" s="77"/>
      <c r="N91" s="77"/>
      <c r="O91" s="77"/>
      <c r="P91" s="77"/>
      <c r="Q91" s="77"/>
      <c r="R91" s="77"/>
      <c r="S91" s="77"/>
      <c r="T91" s="77"/>
      <c r="U91" s="77"/>
      <c r="V91" s="77"/>
      <c r="W91" s="77"/>
      <c r="X91" s="77"/>
      <c r="Y91" s="77"/>
      <c r="Z91" s="77"/>
    </row>
    <row r="92" spans="1:26" customFormat="1" ht="63" customHeight="1">
      <c r="A92" s="94"/>
      <c r="B92" s="78" t="s">
        <v>12</v>
      </c>
      <c r="C92" s="79"/>
      <c r="D92" s="80"/>
      <c r="E92" s="81"/>
      <c r="F92" s="81"/>
      <c r="G92" s="82"/>
      <c r="H92" s="82"/>
      <c r="I92" s="82"/>
      <c r="J92" s="82"/>
      <c r="K92" s="82"/>
      <c r="L92" s="82"/>
      <c r="M92" s="82"/>
      <c r="N92" s="82"/>
      <c r="O92" s="82"/>
      <c r="P92" s="82"/>
      <c r="Q92" s="82"/>
      <c r="R92" s="82"/>
      <c r="S92" s="82"/>
      <c r="T92" s="82"/>
      <c r="U92" s="82"/>
      <c r="V92" s="82"/>
      <c r="W92" s="82"/>
      <c r="X92" s="82"/>
      <c r="Y92" s="82"/>
      <c r="Z92" s="82"/>
    </row>
    <row r="93" spans="1:26" customFormat="1" ht="84" customHeight="1">
      <c r="A93" s="94" t="s">
        <v>395</v>
      </c>
      <c r="B93" s="78" t="s">
        <v>110</v>
      </c>
      <c r="C93" s="79"/>
      <c r="D93" s="81"/>
      <c r="E93" s="81"/>
      <c r="F93" s="81">
        <f t="shared" ref="F93" si="9">D93*E93</f>
        <v>0</v>
      </c>
      <c r="G93" s="82"/>
      <c r="H93" s="82"/>
      <c r="I93" s="82"/>
      <c r="J93" s="82"/>
      <c r="K93" s="82"/>
      <c r="L93" s="82"/>
      <c r="M93" s="82"/>
      <c r="N93" s="82"/>
      <c r="O93" s="82"/>
      <c r="P93" s="82"/>
      <c r="Q93" s="82"/>
      <c r="R93" s="82"/>
      <c r="S93" s="82"/>
      <c r="T93" s="82"/>
      <c r="U93" s="82"/>
      <c r="V93" s="82"/>
      <c r="W93" s="82"/>
      <c r="X93" s="82"/>
      <c r="Y93" s="82"/>
      <c r="Z93" s="82"/>
    </row>
    <row r="94" spans="1:26" customFormat="1" ht="19" customHeight="1">
      <c r="A94" s="94" t="s">
        <v>396</v>
      </c>
      <c r="B94" s="119" t="s">
        <v>183</v>
      </c>
      <c r="C94" s="79" t="s">
        <v>103</v>
      </c>
      <c r="D94" s="81">
        <f>'TO-1'!C6</f>
        <v>40</v>
      </c>
      <c r="E94" s="81"/>
      <c r="F94" s="81">
        <f t="shared" ref="F94" si="10">D94*E94</f>
        <v>0</v>
      </c>
      <c r="G94" s="82"/>
      <c r="H94" s="82"/>
      <c r="I94" s="82"/>
      <c r="J94" s="82"/>
      <c r="K94" s="82"/>
      <c r="L94" s="82"/>
      <c r="M94" s="82"/>
      <c r="N94" s="82"/>
      <c r="O94" s="82"/>
      <c r="P94" s="82"/>
      <c r="Q94" s="82"/>
      <c r="R94" s="82"/>
      <c r="S94" s="82"/>
      <c r="T94" s="82"/>
      <c r="U94" s="82"/>
      <c r="V94" s="82"/>
      <c r="W94" s="82"/>
      <c r="X94" s="82"/>
      <c r="Y94" s="82"/>
      <c r="Z94" s="82"/>
    </row>
    <row r="95" spans="1:26" customFormat="1" ht="15.75" customHeight="1">
      <c r="A95" s="72" t="s">
        <v>397</v>
      </c>
      <c r="B95" s="172" t="s">
        <v>13</v>
      </c>
      <c r="C95" s="173"/>
      <c r="D95" s="174"/>
      <c r="E95" s="175"/>
      <c r="F95" s="175"/>
      <c r="G95" s="77"/>
      <c r="H95" s="77"/>
      <c r="I95" s="77"/>
      <c r="J95" s="77"/>
      <c r="K95" s="77"/>
      <c r="L95" s="77"/>
      <c r="M95" s="77"/>
      <c r="N95" s="77"/>
      <c r="O95" s="77"/>
      <c r="P95" s="77"/>
      <c r="Q95" s="77"/>
      <c r="R95" s="77"/>
      <c r="S95" s="77"/>
      <c r="T95" s="77"/>
      <c r="U95" s="77"/>
      <c r="V95" s="77"/>
      <c r="W95" s="77"/>
      <c r="X95" s="77"/>
      <c r="Y95" s="77"/>
      <c r="Z95" s="77"/>
    </row>
    <row r="96" spans="1:26" customFormat="1" ht="48" customHeight="1">
      <c r="A96" s="93" t="s">
        <v>398</v>
      </c>
      <c r="B96" s="78" t="s">
        <v>104</v>
      </c>
      <c r="C96" s="105"/>
      <c r="D96" s="176"/>
      <c r="E96" s="177"/>
      <c r="F96" s="106"/>
      <c r="G96" s="82"/>
      <c r="H96" s="82"/>
      <c r="I96" s="82"/>
      <c r="J96" s="82"/>
      <c r="K96" s="82"/>
      <c r="L96" s="82"/>
      <c r="M96" s="82"/>
      <c r="N96" s="82"/>
      <c r="O96" s="82"/>
      <c r="P96" s="82"/>
      <c r="Q96" s="82"/>
      <c r="R96" s="82"/>
      <c r="S96" s="82"/>
      <c r="T96" s="82"/>
      <c r="U96" s="82"/>
      <c r="V96" s="82"/>
      <c r="W96" s="82"/>
      <c r="X96" s="82"/>
      <c r="Y96" s="82"/>
      <c r="Z96" s="82"/>
    </row>
    <row r="97" spans="1:26" customFormat="1" ht="19" customHeight="1">
      <c r="A97" s="93" t="s">
        <v>399</v>
      </c>
      <c r="B97" s="78" t="s">
        <v>185</v>
      </c>
      <c r="C97" s="105" t="s">
        <v>103</v>
      </c>
      <c r="D97" s="176">
        <f>'TO-1'!C259</f>
        <v>169</v>
      </c>
      <c r="E97" s="177"/>
      <c r="F97" s="106">
        <f t="shared" ref="F97:F99" si="11">D97*E97</f>
        <v>0</v>
      </c>
      <c r="G97" s="82"/>
      <c r="H97" s="82"/>
      <c r="I97" s="82"/>
      <c r="J97" s="82"/>
      <c r="K97" s="82"/>
      <c r="L97" s="82"/>
      <c r="M97" s="82"/>
      <c r="N97" s="82"/>
      <c r="O97" s="82"/>
      <c r="P97" s="82"/>
      <c r="Q97" s="82"/>
      <c r="R97" s="82"/>
      <c r="S97" s="82"/>
      <c r="T97" s="82"/>
      <c r="U97" s="82"/>
      <c r="V97" s="82"/>
      <c r="W97" s="82"/>
      <c r="X97" s="82"/>
      <c r="Y97" s="82"/>
      <c r="Z97" s="82"/>
    </row>
    <row r="98" spans="1:26" customFormat="1" ht="19" customHeight="1">
      <c r="A98" s="93" t="s">
        <v>400</v>
      </c>
      <c r="B98" s="78" t="s">
        <v>105</v>
      </c>
      <c r="C98" s="105"/>
      <c r="D98" s="176"/>
      <c r="E98" s="177"/>
      <c r="F98" s="106"/>
      <c r="G98" s="82"/>
      <c r="H98" s="82"/>
      <c r="I98" s="82"/>
      <c r="J98" s="82"/>
      <c r="K98" s="82"/>
      <c r="L98" s="82"/>
      <c r="M98" s="82"/>
      <c r="N98" s="82"/>
      <c r="O98" s="82"/>
      <c r="P98" s="82"/>
      <c r="Q98" s="82"/>
      <c r="R98" s="82"/>
      <c r="S98" s="82"/>
      <c r="T98" s="82"/>
      <c r="U98" s="82"/>
      <c r="V98" s="82"/>
      <c r="W98" s="82"/>
      <c r="X98" s="82"/>
      <c r="Y98" s="82"/>
      <c r="Z98" s="82"/>
    </row>
    <row r="99" spans="1:26" customFormat="1" ht="19" customHeight="1">
      <c r="A99" s="93" t="s">
        <v>401</v>
      </c>
      <c r="B99" s="78" t="s">
        <v>185</v>
      </c>
      <c r="C99" s="105" t="s">
        <v>9</v>
      </c>
      <c r="D99" s="176">
        <f>15*4</f>
        <v>60</v>
      </c>
      <c r="E99" s="177"/>
      <c r="F99" s="106">
        <f t="shared" si="11"/>
        <v>0</v>
      </c>
      <c r="G99" s="82"/>
      <c r="H99" s="82"/>
      <c r="I99" s="82"/>
      <c r="J99" s="82"/>
      <c r="K99" s="82"/>
      <c r="L99" s="82"/>
      <c r="M99" s="82"/>
      <c r="N99" s="82"/>
      <c r="O99" s="82"/>
      <c r="P99" s="82"/>
      <c r="Q99" s="82"/>
      <c r="R99" s="82"/>
      <c r="S99" s="82"/>
      <c r="T99" s="82"/>
      <c r="U99" s="82"/>
      <c r="V99" s="82"/>
      <c r="W99" s="82"/>
      <c r="X99" s="82"/>
      <c r="Y99" s="82"/>
      <c r="Z99" s="82"/>
    </row>
    <row r="100" spans="1:26" ht="50" customHeight="1">
      <c r="A100" s="93" t="s">
        <v>402</v>
      </c>
      <c r="B100" s="178" t="s">
        <v>112</v>
      </c>
      <c r="C100" s="29"/>
      <c r="D100" s="12"/>
      <c r="E100" s="13"/>
      <c r="F100" s="2"/>
    </row>
    <row r="101" spans="1:26" ht="19" customHeight="1">
      <c r="A101" s="93" t="s">
        <v>403</v>
      </c>
      <c r="B101" s="178" t="s">
        <v>188</v>
      </c>
      <c r="C101" s="29" t="s">
        <v>44</v>
      </c>
      <c r="D101" s="12">
        <f>'TO-1'!C252</f>
        <v>46.9</v>
      </c>
      <c r="E101" s="13"/>
      <c r="F101" s="2">
        <f t="shared" ref="F101:F108" si="12">D101*E101</f>
        <v>0</v>
      </c>
    </row>
    <row r="102" spans="1:26" ht="19" customHeight="1">
      <c r="A102" s="93" t="s">
        <v>402</v>
      </c>
      <c r="B102" s="128" t="s">
        <v>310</v>
      </c>
      <c r="C102" s="125"/>
      <c r="D102" s="129"/>
      <c r="E102" s="2"/>
      <c r="F102" s="2"/>
    </row>
    <row r="103" spans="1:26" ht="16.5">
      <c r="A103" s="93" t="s">
        <v>403</v>
      </c>
      <c r="B103" s="128" t="s">
        <v>223</v>
      </c>
      <c r="C103" s="125" t="s">
        <v>44</v>
      </c>
      <c r="D103" s="129">
        <f>3*35</f>
        <v>105</v>
      </c>
      <c r="E103" s="2"/>
      <c r="F103" s="2">
        <f t="shared" si="12"/>
        <v>0</v>
      </c>
    </row>
    <row r="104" spans="1:26" ht="16.5">
      <c r="A104" s="93" t="s">
        <v>404</v>
      </c>
      <c r="B104" s="128" t="s">
        <v>225</v>
      </c>
      <c r="C104" s="125" t="s">
        <v>44</v>
      </c>
      <c r="D104" s="129">
        <f>25*3</f>
        <v>75</v>
      </c>
      <c r="E104" s="2"/>
      <c r="F104" s="2">
        <f t="shared" si="12"/>
        <v>0</v>
      </c>
    </row>
    <row r="105" spans="1:26" s="92" customFormat="1" ht="19" customHeight="1">
      <c r="A105" s="93" t="s">
        <v>405</v>
      </c>
      <c r="B105" s="78" t="s">
        <v>177</v>
      </c>
      <c r="C105" s="105"/>
      <c r="D105" s="106"/>
      <c r="E105" s="106"/>
      <c r="F105" s="106"/>
    </row>
    <row r="106" spans="1:26" s="92" customFormat="1" ht="19" customHeight="1">
      <c r="A106" s="93" t="s">
        <v>406</v>
      </c>
      <c r="B106" s="78" t="s">
        <v>178</v>
      </c>
      <c r="C106" s="105" t="s">
        <v>44</v>
      </c>
      <c r="D106" s="106">
        <f>42*3</f>
        <v>126</v>
      </c>
      <c r="E106" s="106"/>
      <c r="F106" s="106">
        <f t="shared" si="12"/>
        <v>0</v>
      </c>
    </row>
    <row r="107" spans="1:26" s="92" customFormat="1" ht="19" customHeight="1">
      <c r="A107" s="93" t="s">
        <v>407</v>
      </c>
      <c r="B107" s="78" t="s">
        <v>153</v>
      </c>
      <c r="C107" s="105" t="s">
        <v>44</v>
      </c>
      <c r="D107" s="106">
        <f>72*5</f>
        <v>360</v>
      </c>
      <c r="E107" s="106"/>
      <c r="F107" s="106">
        <f t="shared" si="12"/>
        <v>0</v>
      </c>
    </row>
    <row r="108" spans="1:26" s="92" customFormat="1" ht="19" customHeight="1" thickBot="1">
      <c r="A108" s="93" t="s">
        <v>408</v>
      </c>
      <c r="B108" s="78" t="s">
        <v>231</v>
      </c>
      <c r="C108" s="105" t="s">
        <v>44</v>
      </c>
      <c r="D108" s="106">
        <f>18.5*3</f>
        <v>55.5</v>
      </c>
      <c r="E108" s="106"/>
      <c r="F108" s="106">
        <f t="shared" si="12"/>
        <v>0</v>
      </c>
    </row>
    <row r="109" spans="1:26" customFormat="1" ht="15.75" customHeight="1" thickBot="1">
      <c r="A109" s="191" t="s">
        <v>393</v>
      </c>
      <c r="B109" s="107" t="s">
        <v>14</v>
      </c>
      <c r="C109" s="108"/>
      <c r="D109" s="109"/>
      <c r="E109" s="110"/>
      <c r="F109" s="111">
        <f>SUM(F92:F108)</f>
        <v>0</v>
      </c>
      <c r="G109" s="77"/>
      <c r="H109" s="77"/>
      <c r="I109" s="77"/>
      <c r="J109" s="77"/>
      <c r="K109" s="77"/>
      <c r="L109" s="77"/>
      <c r="M109" s="77"/>
      <c r="N109" s="77"/>
      <c r="O109" s="77"/>
      <c r="P109" s="77"/>
      <c r="Q109" s="77"/>
      <c r="R109" s="77"/>
      <c r="S109" s="77"/>
      <c r="T109" s="77"/>
      <c r="U109" s="77"/>
      <c r="V109" s="77"/>
      <c r="W109" s="77"/>
      <c r="X109" s="77"/>
      <c r="Y109" s="77"/>
      <c r="Z109" s="77"/>
    </row>
    <row r="110" spans="1:26" s="23" customFormat="1">
      <c r="A110" s="36" t="s">
        <v>8</v>
      </c>
      <c r="B110" s="100" t="s">
        <v>15</v>
      </c>
      <c r="C110" s="101"/>
      <c r="D110" s="102"/>
      <c r="E110" s="103"/>
      <c r="F110" s="104"/>
    </row>
    <row r="111" spans="1:26" s="92" customFormat="1" ht="43.5">
      <c r="A111" s="93" t="s">
        <v>51</v>
      </c>
      <c r="B111" s="78" t="s">
        <v>172</v>
      </c>
      <c r="C111" s="105"/>
      <c r="D111" s="106"/>
      <c r="E111" s="106"/>
      <c r="F111" s="106"/>
    </row>
    <row r="112" spans="1:26" s="92" customFormat="1" ht="16.5">
      <c r="A112" s="93" t="s">
        <v>52</v>
      </c>
      <c r="B112" s="78" t="s">
        <v>149</v>
      </c>
      <c r="C112" s="105" t="s">
        <v>103</v>
      </c>
      <c r="D112" s="106">
        <f>'TO-1'!C36</f>
        <v>255.99</v>
      </c>
      <c r="E112" s="106"/>
      <c r="F112" s="106">
        <f>D112*E112</f>
        <v>0</v>
      </c>
    </row>
    <row r="113" spans="1:6" s="92" customFormat="1" ht="16.5">
      <c r="A113" s="93" t="s">
        <v>409</v>
      </c>
      <c r="B113" s="78" t="s">
        <v>173</v>
      </c>
      <c r="C113" s="105" t="s">
        <v>103</v>
      </c>
      <c r="D113" s="106">
        <f>'TO-1'!C86</f>
        <v>385.1450000000001</v>
      </c>
      <c r="E113" s="106"/>
      <c r="F113" s="106">
        <f t="shared" ref="F113:F128" si="13">D113*E113</f>
        <v>0</v>
      </c>
    </row>
    <row r="114" spans="1:6" s="92" customFormat="1" ht="16.5">
      <c r="A114" s="93" t="s">
        <v>410</v>
      </c>
      <c r="B114" s="78" t="s">
        <v>153</v>
      </c>
      <c r="C114" s="105" t="s">
        <v>103</v>
      </c>
      <c r="D114" s="106">
        <f>'TO-1'!C167</f>
        <v>611.65999999999985</v>
      </c>
      <c r="E114" s="106"/>
      <c r="F114" s="106">
        <f t="shared" si="13"/>
        <v>0</v>
      </c>
    </row>
    <row r="115" spans="1:6" s="92" customFormat="1" ht="16.5">
      <c r="A115" s="93" t="s">
        <v>411</v>
      </c>
      <c r="B115" s="78" t="s">
        <v>231</v>
      </c>
      <c r="C115" s="105" t="s">
        <v>103</v>
      </c>
      <c r="D115" s="106">
        <f>'TO-1'!C184</f>
        <v>180.42500000000001</v>
      </c>
      <c r="E115" s="106"/>
      <c r="F115" s="106">
        <f t="shared" si="13"/>
        <v>0</v>
      </c>
    </row>
    <row r="116" spans="1:6" s="92" customFormat="1" ht="29">
      <c r="A116" s="93" t="s">
        <v>412</v>
      </c>
      <c r="B116" s="78" t="s">
        <v>113</v>
      </c>
      <c r="C116" s="105"/>
      <c r="D116" s="106"/>
      <c r="E116" s="106"/>
      <c r="F116" s="106"/>
    </row>
    <row r="117" spans="1:6" s="92" customFormat="1" ht="16.5">
      <c r="A117" s="93" t="s">
        <v>413</v>
      </c>
      <c r="B117" s="78" t="s">
        <v>174</v>
      </c>
      <c r="C117" s="105" t="s">
        <v>103</v>
      </c>
      <c r="D117" s="106">
        <f>'TO-1'!C200</f>
        <v>151.97</v>
      </c>
      <c r="E117" s="106"/>
      <c r="F117" s="106">
        <f t="shared" si="13"/>
        <v>0</v>
      </c>
    </row>
    <row r="118" spans="1:6" s="92" customFormat="1" ht="16.5">
      <c r="A118" s="93" t="s">
        <v>414</v>
      </c>
      <c r="B118" s="78" t="s">
        <v>173</v>
      </c>
      <c r="C118" s="105" t="s">
        <v>103</v>
      </c>
      <c r="D118" s="106">
        <f>'TO-1'!C205</f>
        <v>126</v>
      </c>
      <c r="E118" s="106"/>
      <c r="F118" s="106">
        <f t="shared" si="13"/>
        <v>0</v>
      </c>
    </row>
    <row r="119" spans="1:6" s="92" customFormat="1" ht="16.5">
      <c r="A119" s="93" t="s">
        <v>415</v>
      </c>
      <c r="B119" s="78" t="s">
        <v>153</v>
      </c>
      <c r="C119" s="105" t="s">
        <v>103</v>
      </c>
      <c r="D119" s="106">
        <f>'TO-1'!C211</f>
        <v>216</v>
      </c>
      <c r="E119" s="106"/>
      <c r="F119" s="106">
        <f t="shared" si="13"/>
        <v>0</v>
      </c>
    </row>
    <row r="120" spans="1:6" s="92" customFormat="1" ht="16.5">
      <c r="A120" s="93" t="s">
        <v>416</v>
      </c>
      <c r="B120" s="78" t="s">
        <v>231</v>
      </c>
      <c r="C120" s="105" t="s">
        <v>103</v>
      </c>
      <c r="D120" s="106">
        <f>'TO-1'!C217</f>
        <v>55.5</v>
      </c>
      <c r="E120" s="106"/>
      <c r="F120" s="106">
        <f t="shared" si="13"/>
        <v>0</v>
      </c>
    </row>
    <row r="121" spans="1:6" s="92" customFormat="1" ht="43.5">
      <c r="A121" s="93" t="s">
        <v>417</v>
      </c>
      <c r="B121" s="78" t="s">
        <v>454</v>
      </c>
      <c r="C121" s="105"/>
      <c r="D121" s="106"/>
      <c r="E121" s="106"/>
      <c r="F121" s="106"/>
    </row>
    <row r="122" spans="1:6" s="92" customFormat="1">
      <c r="A122" s="93" t="s">
        <v>418</v>
      </c>
      <c r="B122" s="78" t="s">
        <v>175</v>
      </c>
      <c r="C122" s="105"/>
      <c r="D122" s="106"/>
      <c r="E122" s="106"/>
      <c r="F122" s="106"/>
    </row>
    <row r="123" spans="1:6" s="92" customFormat="1">
      <c r="A123" s="93" t="s">
        <v>455</v>
      </c>
      <c r="B123" s="128" t="s">
        <v>228</v>
      </c>
      <c r="C123" s="105" t="s">
        <v>224</v>
      </c>
      <c r="D123" s="106">
        <v>22</v>
      </c>
      <c r="E123" s="106"/>
      <c r="F123" s="106">
        <f t="shared" si="13"/>
        <v>0</v>
      </c>
    </row>
    <row r="124" spans="1:6" s="92" customFormat="1">
      <c r="A124" s="93" t="s">
        <v>456</v>
      </c>
      <c r="B124" s="128" t="s">
        <v>229</v>
      </c>
      <c r="C124" s="105" t="s">
        <v>224</v>
      </c>
      <c r="D124" s="106">
        <f>45+70+35+46+48+52</f>
        <v>296</v>
      </c>
      <c r="E124" s="106"/>
      <c r="F124" s="106">
        <f t="shared" si="13"/>
        <v>0</v>
      </c>
    </row>
    <row r="125" spans="1:6" s="92" customFormat="1">
      <c r="A125" s="93" t="s">
        <v>419</v>
      </c>
      <c r="B125" s="78" t="s">
        <v>275</v>
      </c>
      <c r="C125" s="105"/>
      <c r="D125" s="106"/>
      <c r="E125" s="106"/>
      <c r="F125" s="106"/>
    </row>
    <row r="126" spans="1:6" s="92" customFormat="1" ht="16.5">
      <c r="A126" s="93" t="s">
        <v>421</v>
      </c>
      <c r="B126" s="128" t="s">
        <v>276</v>
      </c>
      <c r="C126" s="105" t="s">
        <v>103</v>
      </c>
      <c r="D126" s="106">
        <f>4*3.2*2</f>
        <v>25.6</v>
      </c>
      <c r="E126" s="106"/>
      <c r="F126" s="106">
        <f t="shared" si="13"/>
        <v>0</v>
      </c>
    </row>
    <row r="127" spans="1:6" s="92" customFormat="1" ht="32" customHeight="1">
      <c r="A127" s="93" t="s">
        <v>417</v>
      </c>
      <c r="B127" s="78" t="s">
        <v>162</v>
      </c>
      <c r="C127" s="105"/>
      <c r="D127" s="106"/>
      <c r="E127" s="106"/>
      <c r="F127" s="106"/>
    </row>
    <row r="128" spans="1:6" s="92" customFormat="1" ht="17" thickBot="1">
      <c r="A128" s="93" t="s">
        <v>418</v>
      </c>
      <c r="B128" s="78" t="s">
        <v>190</v>
      </c>
      <c r="C128" s="105" t="s">
        <v>103</v>
      </c>
      <c r="D128" s="106">
        <f>'TO-1'!C243</f>
        <v>184</v>
      </c>
      <c r="E128" s="106"/>
      <c r="F128" s="106">
        <f t="shared" si="13"/>
        <v>0</v>
      </c>
    </row>
    <row r="129" spans="1:26" s="23" customFormat="1" ht="15" thickBot="1">
      <c r="A129" s="191" t="s">
        <v>8</v>
      </c>
      <c r="B129" s="95" t="s">
        <v>16</v>
      </c>
      <c r="C129" s="96"/>
      <c r="D129" s="97"/>
      <c r="E129" s="98"/>
      <c r="F129" s="99">
        <f>SUM(F112:F128)</f>
        <v>0</v>
      </c>
    </row>
    <row r="130" spans="1:26" s="92" customFormat="1">
      <c r="A130" s="36" t="s">
        <v>114</v>
      </c>
      <c r="B130" s="100" t="s">
        <v>154</v>
      </c>
      <c r="C130" s="101"/>
      <c r="D130" s="102"/>
      <c r="E130" s="103"/>
      <c r="F130" s="104"/>
    </row>
    <row r="131" spans="1:26" s="92" customFormat="1" ht="29">
      <c r="A131" s="93" t="s">
        <v>116</v>
      </c>
      <c r="B131" s="78" t="s">
        <v>155</v>
      </c>
      <c r="C131" s="105"/>
      <c r="D131" s="106"/>
      <c r="E131" s="106"/>
      <c r="F131" s="106"/>
    </row>
    <row r="132" spans="1:26" s="92" customFormat="1" ht="16.5">
      <c r="A132" s="93" t="s">
        <v>119</v>
      </c>
      <c r="B132" s="78" t="s">
        <v>182</v>
      </c>
      <c r="C132" s="105" t="s">
        <v>103</v>
      </c>
      <c r="D132" s="106">
        <f>5.6*2.65*0.3</f>
        <v>4.4519999999999991</v>
      </c>
      <c r="E132" s="106"/>
      <c r="F132" s="106">
        <f>D132*E132</f>
        <v>0</v>
      </c>
    </row>
    <row r="133" spans="1:26" s="92" customFormat="1" ht="17" thickBot="1">
      <c r="A133" s="93" t="s">
        <v>121</v>
      </c>
      <c r="B133" s="78" t="s">
        <v>156</v>
      </c>
      <c r="C133" s="105" t="s">
        <v>103</v>
      </c>
      <c r="D133" s="106">
        <f>2.3*2.65*4*0.5</f>
        <v>12.19</v>
      </c>
      <c r="E133" s="106"/>
      <c r="F133" s="106">
        <f>D133*E133</f>
        <v>0</v>
      </c>
    </row>
    <row r="134" spans="1:26" s="23" customFormat="1" ht="15" thickBot="1">
      <c r="A134" s="191" t="s">
        <v>114</v>
      </c>
      <c r="B134" s="95" t="s">
        <v>451</v>
      </c>
      <c r="C134" s="96"/>
      <c r="D134" s="97"/>
      <c r="E134" s="98"/>
      <c r="F134" s="99">
        <f>SUM(F132:F133)</f>
        <v>0</v>
      </c>
    </row>
    <row r="135" spans="1:26" ht="15.5">
      <c r="A135" s="36" t="s">
        <v>106</v>
      </c>
      <c r="B135" s="132" t="s">
        <v>132</v>
      </c>
      <c r="C135" s="133"/>
      <c r="D135" s="134"/>
      <c r="E135" s="135"/>
      <c r="F135" s="136"/>
    </row>
    <row r="136" spans="1:26" s="141" customFormat="1" ht="61" customHeight="1">
      <c r="A136" s="137"/>
      <c r="B136" s="138" t="s">
        <v>133</v>
      </c>
      <c r="C136" s="29"/>
      <c r="D136" s="12"/>
      <c r="E136" s="2"/>
      <c r="F136" s="2"/>
      <c r="G136" s="139"/>
      <c r="H136" s="140"/>
      <c r="I136" s="140"/>
      <c r="J136" s="140"/>
      <c r="K136" s="140"/>
      <c r="L136" s="140"/>
      <c r="M136" s="140"/>
      <c r="N136" s="140"/>
      <c r="O136" s="140"/>
      <c r="P136" s="140"/>
      <c r="Q136" s="140"/>
      <c r="R136" s="140"/>
      <c r="S136" s="140"/>
      <c r="T136" s="140"/>
      <c r="U136" s="140"/>
      <c r="V136" s="140"/>
      <c r="W136" s="140"/>
      <c r="X136" s="140"/>
      <c r="Y136" s="140"/>
      <c r="Z136" s="140"/>
    </row>
    <row r="137" spans="1:26" s="141" customFormat="1" ht="15.75" customHeight="1">
      <c r="A137" s="146">
        <v>7.1</v>
      </c>
      <c r="B137" s="142" t="s">
        <v>134</v>
      </c>
      <c r="C137" s="29"/>
      <c r="D137" s="12"/>
      <c r="E137" s="2"/>
      <c r="F137" s="2"/>
      <c r="G137" s="143"/>
      <c r="H137" s="140"/>
      <c r="I137" s="140"/>
      <c r="J137" s="140"/>
      <c r="K137" s="140"/>
      <c r="L137" s="140"/>
      <c r="M137" s="140"/>
      <c r="N137" s="140"/>
      <c r="O137" s="140"/>
      <c r="P137" s="140"/>
      <c r="Q137" s="140"/>
      <c r="R137" s="140"/>
      <c r="S137" s="140"/>
      <c r="T137" s="140"/>
      <c r="U137" s="140"/>
      <c r="V137" s="140"/>
      <c r="W137" s="140"/>
      <c r="X137" s="140"/>
      <c r="Y137" s="140"/>
      <c r="Z137" s="140"/>
    </row>
    <row r="138" spans="1:26" s="141" customFormat="1" ht="15.75" customHeight="1">
      <c r="A138" s="144" t="s">
        <v>107</v>
      </c>
      <c r="B138" s="145" t="s">
        <v>135</v>
      </c>
      <c r="C138" s="29"/>
      <c r="D138" s="12"/>
      <c r="E138" s="2"/>
      <c r="F138" s="2"/>
      <c r="G138" s="143"/>
      <c r="H138" s="140"/>
      <c r="I138" s="140"/>
      <c r="J138" s="140"/>
      <c r="K138" s="140"/>
      <c r="L138" s="140"/>
      <c r="M138" s="140"/>
      <c r="N138" s="140"/>
      <c r="O138" s="140"/>
      <c r="P138" s="140"/>
      <c r="Q138" s="140"/>
      <c r="R138" s="140"/>
      <c r="S138" s="140"/>
      <c r="T138" s="140"/>
      <c r="U138" s="140"/>
      <c r="V138" s="140"/>
      <c r="W138" s="140"/>
      <c r="X138" s="140"/>
      <c r="Y138" s="140"/>
      <c r="Z138" s="140"/>
    </row>
    <row r="139" spans="1:26" s="141" customFormat="1" ht="15.75" customHeight="1">
      <c r="A139" s="144" t="s">
        <v>423</v>
      </c>
      <c r="B139" s="78" t="s">
        <v>150</v>
      </c>
      <c r="C139" s="29" t="s">
        <v>120</v>
      </c>
      <c r="D139" s="12">
        <v>4</v>
      </c>
      <c r="E139" s="2"/>
      <c r="F139" s="2">
        <f t="shared" ref="F139" si="14">D139*E139</f>
        <v>0</v>
      </c>
      <c r="G139" s="143"/>
      <c r="H139" s="140"/>
      <c r="I139" s="140"/>
      <c r="J139" s="140"/>
      <c r="K139" s="140"/>
      <c r="L139" s="140"/>
      <c r="M139" s="140"/>
      <c r="N139" s="140"/>
      <c r="O139" s="140"/>
      <c r="P139" s="140"/>
      <c r="Q139" s="140"/>
      <c r="R139" s="140"/>
      <c r="S139" s="140"/>
      <c r="T139" s="140"/>
      <c r="U139" s="140"/>
      <c r="V139" s="140"/>
      <c r="W139" s="140"/>
      <c r="X139" s="140"/>
      <c r="Y139" s="140"/>
      <c r="Z139" s="140"/>
    </row>
    <row r="140" spans="1:26" s="141" customFormat="1" ht="15.75" customHeight="1">
      <c r="A140" s="146">
        <v>7.2</v>
      </c>
      <c r="B140" s="142" t="s">
        <v>136</v>
      </c>
      <c r="C140" s="29"/>
      <c r="D140" s="12"/>
      <c r="E140" s="2"/>
      <c r="F140" s="2"/>
      <c r="G140" s="143"/>
      <c r="H140" s="140"/>
      <c r="I140" s="140"/>
      <c r="J140" s="140"/>
      <c r="K140" s="140"/>
      <c r="L140" s="140"/>
      <c r="M140" s="140"/>
      <c r="N140" s="140"/>
      <c r="O140" s="140"/>
      <c r="P140" s="140"/>
      <c r="Q140" s="140"/>
      <c r="R140" s="140"/>
      <c r="S140" s="140"/>
      <c r="T140" s="140"/>
      <c r="U140" s="140"/>
      <c r="V140" s="140"/>
      <c r="W140" s="140"/>
      <c r="X140" s="140"/>
      <c r="Y140" s="140"/>
      <c r="Z140" s="140"/>
    </row>
    <row r="141" spans="1:26" s="141" customFormat="1" ht="15.75" customHeight="1">
      <c r="A141" s="144"/>
      <c r="B141" s="145" t="s">
        <v>137</v>
      </c>
      <c r="C141" s="29"/>
      <c r="D141" s="12"/>
      <c r="E141" s="2"/>
      <c r="F141" s="2"/>
      <c r="G141" s="179"/>
      <c r="H141" s="140"/>
      <c r="I141" s="140"/>
      <c r="J141" s="140"/>
      <c r="K141" s="140"/>
      <c r="L141" s="140"/>
      <c r="M141" s="140"/>
      <c r="N141" s="140"/>
      <c r="O141" s="140"/>
      <c r="P141" s="140"/>
      <c r="Q141" s="140"/>
      <c r="R141" s="140"/>
      <c r="S141" s="140"/>
      <c r="T141" s="140"/>
      <c r="U141" s="140"/>
      <c r="V141" s="140"/>
      <c r="W141" s="140"/>
      <c r="X141" s="140"/>
      <c r="Y141" s="140"/>
      <c r="Z141" s="140"/>
    </row>
    <row r="142" spans="1:26" s="141" customFormat="1" ht="15" customHeight="1">
      <c r="A142" s="180" t="s">
        <v>109</v>
      </c>
      <c r="B142" s="71" t="s">
        <v>452</v>
      </c>
      <c r="C142" s="29"/>
      <c r="D142" s="12"/>
      <c r="E142" s="2"/>
      <c r="F142" s="2"/>
      <c r="G142" s="179"/>
      <c r="H142" s="140"/>
      <c r="I142" s="140"/>
      <c r="J142" s="140"/>
      <c r="K142" s="140"/>
      <c r="L142" s="140"/>
      <c r="M142" s="140"/>
      <c r="N142" s="140"/>
      <c r="O142" s="140"/>
      <c r="P142" s="140"/>
      <c r="Q142" s="140"/>
      <c r="R142" s="140"/>
      <c r="S142" s="140"/>
      <c r="T142" s="140"/>
      <c r="U142" s="140"/>
      <c r="V142" s="140"/>
      <c r="W142" s="140"/>
      <c r="X142" s="140"/>
      <c r="Y142" s="140"/>
      <c r="Z142" s="140"/>
    </row>
    <row r="143" spans="1:26" s="141" customFormat="1" ht="15.75" customHeight="1">
      <c r="A143" s="180" t="s">
        <v>424</v>
      </c>
      <c r="B143" s="78" t="s">
        <v>150</v>
      </c>
      <c r="C143" s="29" t="s">
        <v>120</v>
      </c>
      <c r="D143" s="12">
        <v>9</v>
      </c>
      <c r="E143" s="2"/>
      <c r="F143" s="2">
        <f t="shared" ref="F143" si="15">D143*E143</f>
        <v>0</v>
      </c>
      <c r="G143" s="143"/>
      <c r="H143" s="140"/>
      <c r="I143" s="140"/>
      <c r="J143" s="140"/>
      <c r="K143" s="140"/>
      <c r="L143" s="140"/>
      <c r="M143" s="140"/>
      <c r="N143" s="140"/>
      <c r="O143" s="140"/>
      <c r="P143" s="140"/>
      <c r="Q143" s="140"/>
      <c r="R143" s="140"/>
      <c r="S143" s="140"/>
      <c r="T143" s="140"/>
      <c r="U143" s="140"/>
      <c r="V143" s="140"/>
      <c r="W143" s="140"/>
      <c r="X143" s="140"/>
      <c r="Y143" s="140"/>
      <c r="Z143" s="140"/>
    </row>
    <row r="144" spans="1:26" s="141" customFormat="1" ht="15.75" customHeight="1">
      <c r="A144" s="180" t="s">
        <v>425</v>
      </c>
      <c r="B144" s="78" t="s">
        <v>152</v>
      </c>
      <c r="C144" s="29" t="s">
        <v>120</v>
      </c>
      <c r="D144" s="12">
        <v>11</v>
      </c>
      <c r="E144" s="2"/>
      <c r="F144" s="2">
        <f t="shared" ref="F144" si="16">D144*E144</f>
        <v>0</v>
      </c>
      <c r="G144" s="143"/>
      <c r="H144" s="140"/>
      <c r="I144" s="140"/>
      <c r="J144" s="140"/>
      <c r="K144" s="140"/>
      <c r="L144" s="140"/>
      <c r="M144" s="140"/>
      <c r="N144" s="140"/>
      <c r="O144" s="140"/>
      <c r="P144" s="140"/>
      <c r="Q144" s="140"/>
      <c r="R144" s="140"/>
      <c r="S144" s="140"/>
      <c r="T144" s="140"/>
      <c r="U144" s="140"/>
      <c r="V144" s="140"/>
      <c r="W144" s="140"/>
      <c r="X144" s="140"/>
      <c r="Y144" s="140"/>
      <c r="Z144" s="140"/>
    </row>
    <row r="145" spans="1:26" s="141" customFormat="1" ht="15.75" customHeight="1">
      <c r="A145" s="180" t="s">
        <v>426</v>
      </c>
      <c r="B145" s="78" t="s">
        <v>153</v>
      </c>
      <c r="C145" s="29" t="s">
        <v>120</v>
      </c>
      <c r="D145" s="12">
        <v>16</v>
      </c>
      <c r="E145" s="2"/>
      <c r="F145" s="2">
        <f t="shared" ref="F145" si="17">D145*E145</f>
        <v>0</v>
      </c>
      <c r="G145" s="143"/>
      <c r="H145" s="140"/>
      <c r="I145" s="140"/>
      <c r="J145" s="140"/>
      <c r="K145" s="140"/>
      <c r="L145" s="140"/>
      <c r="M145" s="140"/>
      <c r="N145" s="140"/>
      <c r="O145" s="140"/>
      <c r="P145" s="140"/>
      <c r="Q145" s="140"/>
      <c r="R145" s="140"/>
      <c r="S145" s="140"/>
      <c r="T145" s="140"/>
      <c r="U145" s="140"/>
      <c r="V145" s="140"/>
      <c r="W145" s="140"/>
      <c r="X145" s="140"/>
      <c r="Y145" s="140"/>
      <c r="Z145" s="140"/>
    </row>
    <row r="146" spans="1:26" s="141" customFormat="1" ht="15.75" customHeight="1">
      <c r="A146" s="180" t="s">
        <v>427</v>
      </c>
      <c r="B146" s="78" t="s">
        <v>231</v>
      </c>
      <c r="C146" s="29" t="s">
        <v>120</v>
      </c>
      <c r="D146" s="12">
        <v>5</v>
      </c>
      <c r="E146" s="2"/>
      <c r="F146" s="2">
        <f t="shared" ref="F146" si="18">D146*E146</f>
        <v>0</v>
      </c>
      <c r="G146" s="143"/>
      <c r="H146" s="140"/>
      <c r="I146" s="140"/>
      <c r="J146" s="140"/>
      <c r="K146" s="140"/>
      <c r="L146" s="140"/>
      <c r="M146" s="140"/>
      <c r="N146" s="140"/>
      <c r="O146" s="140"/>
      <c r="P146" s="140"/>
      <c r="Q146" s="140"/>
      <c r="R146" s="140"/>
      <c r="S146" s="140"/>
      <c r="T146" s="140"/>
      <c r="U146" s="140"/>
      <c r="V146" s="140"/>
      <c r="W146" s="140"/>
      <c r="X146" s="140"/>
      <c r="Y146" s="140"/>
      <c r="Z146" s="140"/>
    </row>
    <row r="147" spans="1:26" customFormat="1" ht="15.75" customHeight="1">
      <c r="A147" s="72">
        <v>7.3</v>
      </c>
      <c r="B147" s="181" t="s">
        <v>169</v>
      </c>
      <c r="C147" s="182"/>
      <c r="D147" s="183"/>
      <c r="E147" s="184"/>
      <c r="F147" s="184" t="s">
        <v>170</v>
      </c>
      <c r="G147" s="185"/>
      <c r="H147" s="82"/>
      <c r="I147" s="82"/>
      <c r="J147" s="82"/>
      <c r="K147" s="82"/>
      <c r="L147" s="82"/>
      <c r="M147" s="82"/>
      <c r="N147" s="82"/>
      <c r="O147" s="82"/>
      <c r="P147" s="82"/>
      <c r="Q147" s="82"/>
      <c r="R147" s="82"/>
      <c r="S147" s="82"/>
      <c r="T147" s="82"/>
      <c r="U147" s="82"/>
      <c r="V147" s="82"/>
      <c r="W147" s="82"/>
      <c r="X147" s="82"/>
      <c r="Y147" s="82"/>
      <c r="Z147" s="82"/>
    </row>
    <row r="148" spans="1:26" customFormat="1" ht="15.75" customHeight="1">
      <c r="A148" s="186" t="s">
        <v>422</v>
      </c>
      <c r="B148" s="71" t="s">
        <v>171</v>
      </c>
      <c r="C148" s="182"/>
      <c r="D148" s="183"/>
      <c r="E148" s="184"/>
      <c r="F148" s="184"/>
      <c r="G148" s="185"/>
      <c r="H148" s="82"/>
      <c r="I148" s="82"/>
      <c r="J148" s="82"/>
      <c r="K148" s="82"/>
      <c r="L148" s="82"/>
      <c r="M148" s="82"/>
      <c r="N148" s="82"/>
      <c r="O148" s="82"/>
      <c r="P148" s="82"/>
      <c r="Q148" s="82"/>
      <c r="R148" s="82"/>
      <c r="S148" s="82"/>
      <c r="T148" s="82"/>
      <c r="U148" s="82"/>
      <c r="V148" s="82"/>
      <c r="W148" s="82"/>
      <c r="X148" s="82"/>
      <c r="Y148" s="82"/>
      <c r="Z148" s="82"/>
    </row>
    <row r="149" spans="1:26" customFormat="1" ht="15" customHeight="1">
      <c r="A149" s="180" t="s">
        <v>428</v>
      </c>
      <c r="B149" s="78" t="s">
        <v>150</v>
      </c>
      <c r="C149" s="29" t="s">
        <v>120</v>
      </c>
      <c r="D149" s="12">
        <v>4</v>
      </c>
      <c r="E149" s="2"/>
      <c r="F149" s="2">
        <f t="shared" ref="F149:F152" si="19">D149*E149</f>
        <v>0</v>
      </c>
      <c r="G149" s="185"/>
      <c r="H149" s="82"/>
      <c r="I149" s="82"/>
      <c r="J149" s="82"/>
      <c r="K149" s="82"/>
      <c r="L149" s="82"/>
      <c r="M149" s="82"/>
      <c r="N149" s="82"/>
      <c r="O149" s="82"/>
      <c r="P149" s="82"/>
      <c r="Q149" s="82"/>
      <c r="R149" s="82"/>
      <c r="S149" s="82"/>
      <c r="T149" s="82"/>
      <c r="U149" s="82"/>
      <c r="V149" s="82"/>
      <c r="W149" s="82"/>
      <c r="X149" s="82"/>
      <c r="Y149" s="82"/>
      <c r="Z149" s="82"/>
    </row>
    <row r="150" spans="1:26" customFormat="1" ht="15.75" customHeight="1">
      <c r="A150" s="180" t="s">
        <v>429</v>
      </c>
      <c r="B150" s="78" t="s">
        <v>152</v>
      </c>
      <c r="C150" s="29" t="s">
        <v>120</v>
      </c>
      <c r="D150" s="12">
        <v>5</v>
      </c>
      <c r="E150" s="2"/>
      <c r="F150" s="2">
        <f t="shared" si="19"/>
        <v>0</v>
      </c>
      <c r="G150" s="185"/>
      <c r="H150" s="82"/>
      <c r="I150" s="82"/>
      <c r="J150" s="82"/>
      <c r="K150" s="82"/>
      <c r="L150" s="82"/>
      <c r="M150" s="82"/>
      <c r="N150" s="82"/>
      <c r="O150" s="82"/>
      <c r="P150" s="82"/>
      <c r="Q150" s="82"/>
      <c r="R150" s="82"/>
      <c r="S150" s="82"/>
      <c r="T150" s="82"/>
      <c r="U150" s="82"/>
      <c r="V150" s="82"/>
      <c r="W150" s="82"/>
      <c r="X150" s="82"/>
      <c r="Y150" s="82"/>
      <c r="Z150" s="82"/>
    </row>
    <row r="151" spans="1:26" customFormat="1" ht="15" customHeight="1">
      <c r="A151" s="180" t="s">
        <v>430</v>
      </c>
      <c r="B151" s="78" t="s">
        <v>153</v>
      </c>
      <c r="C151" s="29" t="s">
        <v>120</v>
      </c>
      <c r="D151" s="12">
        <v>10</v>
      </c>
      <c r="E151" s="2"/>
      <c r="F151" s="2">
        <f t="shared" si="19"/>
        <v>0</v>
      </c>
      <c r="G151" s="185"/>
      <c r="H151" s="82"/>
      <c r="I151" s="82"/>
      <c r="J151" s="82"/>
      <c r="K151" s="82"/>
      <c r="L151" s="82"/>
      <c r="M151" s="82"/>
      <c r="N151" s="82"/>
      <c r="O151" s="82"/>
      <c r="P151" s="82"/>
      <c r="Q151" s="82"/>
      <c r="R151" s="82"/>
      <c r="S151" s="82"/>
      <c r="T151" s="82"/>
      <c r="U151" s="82"/>
      <c r="V151" s="82"/>
      <c r="W151" s="82"/>
      <c r="X151" s="82"/>
      <c r="Y151" s="82"/>
      <c r="Z151" s="82"/>
    </row>
    <row r="152" spans="1:26" customFormat="1" ht="15.75" customHeight="1" thickBot="1">
      <c r="A152" s="180" t="s">
        <v>431</v>
      </c>
      <c r="B152" s="78" t="s">
        <v>231</v>
      </c>
      <c r="C152" s="29" t="s">
        <v>120</v>
      </c>
      <c r="D152" s="12">
        <v>3</v>
      </c>
      <c r="E152" s="2"/>
      <c r="F152" s="2">
        <f t="shared" si="19"/>
        <v>0</v>
      </c>
      <c r="G152" s="185"/>
      <c r="H152" s="82"/>
      <c r="I152" s="82"/>
      <c r="J152" s="82"/>
      <c r="K152" s="82"/>
      <c r="L152" s="82"/>
      <c r="M152" s="82"/>
      <c r="N152" s="82"/>
      <c r="O152" s="82"/>
      <c r="P152" s="82"/>
      <c r="Q152" s="82"/>
      <c r="R152" s="82"/>
      <c r="S152" s="82"/>
      <c r="T152" s="82"/>
      <c r="U152" s="82"/>
      <c r="V152" s="82"/>
      <c r="W152" s="82"/>
      <c r="X152" s="82"/>
      <c r="Y152" s="82"/>
      <c r="Z152" s="82"/>
    </row>
    <row r="153" spans="1:26" s="141" customFormat="1" ht="15.75" customHeight="1" thickBot="1">
      <c r="A153" s="191" t="s">
        <v>106</v>
      </c>
      <c r="B153" s="95" t="s">
        <v>138</v>
      </c>
      <c r="C153" s="96"/>
      <c r="D153" s="97"/>
      <c r="E153" s="98"/>
      <c r="F153" s="99">
        <f>SUM(F135:F152)</f>
        <v>0</v>
      </c>
      <c r="G153" s="143"/>
      <c r="H153" s="140"/>
      <c r="I153" s="140"/>
      <c r="J153" s="140"/>
      <c r="K153" s="140"/>
      <c r="L153" s="140"/>
      <c r="M153" s="140"/>
      <c r="N153" s="140"/>
      <c r="O153" s="140"/>
      <c r="P153" s="140"/>
      <c r="Q153" s="140"/>
      <c r="R153" s="140"/>
      <c r="S153" s="140"/>
      <c r="T153" s="140"/>
      <c r="U153" s="140"/>
      <c r="V153" s="140"/>
      <c r="W153" s="140"/>
      <c r="X153" s="140"/>
      <c r="Y153" s="140"/>
      <c r="Z153" s="140"/>
    </row>
    <row r="154" spans="1:26" s="23" customFormat="1">
      <c r="A154" s="37" t="s">
        <v>54</v>
      </c>
      <c r="B154" s="100" t="s">
        <v>131</v>
      </c>
      <c r="C154" s="101"/>
      <c r="D154" s="102"/>
      <c r="E154" s="103"/>
      <c r="F154" s="104"/>
    </row>
    <row r="155" spans="1:26" s="92" customFormat="1">
      <c r="A155" s="93" t="s">
        <v>55</v>
      </c>
      <c r="B155" s="187" t="s">
        <v>296</v>
      </c>
      <c r="C155" s="105"/>
      <c r="D155" s="106"/>
      <c r="E155" s="106"/>
      <c r="F155" s="106"/>
    </row>
    <row r="156" spans="1:26" s="92" customFormat="1">
      <c r="A156" s="93" t="s">
        <v>56</v>
      </c>
      <c r="B156" s="78" t="s">
        <v>453</v>
      </c>
      <c r="C156" s="105" t="s">
        <v>120</v>
      </c>
      <c r="D156" s="106">
        <v>1</v>
      </c>
      <c r="E156" s="106"/>
      <c r="F156" s="106">
        <f>D156*E156</f>
        <v>0</v>
      </c>
    </row>
    <row r="157" spans="1:26" s="92" customFormat="1" ht="15" customHeight="1">
      <c r="A157" s="93" t="s">
        <v>432</v>
      </c>
      <c r="B157" s="78" t="s">
        <v>293</v>
      </c>
      <c r="C157" s="105" t="s">
        <v>120</v>
      </c>
      <c r="D157" s="106">
        <v>37</v>
      </c>
      <c r="E157" s="106"/>
      <c r="F157" s="106">
        <f t="shared" ref="F157:F175" si="20">D157*E157</f>
        <v>0</v>
      </c>
    </row>
    <row r="158" spans="1:26" s="92" customFormat="1">
      <c r="A158" s="93" t="s">
        <v>57</v>
      </c>
      <c r="B158" s="187" t="s">
        <v>278</v>
      </c>
      <c r="C158" s="105"/>
      <c r="D158" s="106"/>
      <c r="E158" s="106"/>
      <c r="F158" s="106"/>
    </row>
    <row r="159" spans="1:26" s="92" customFormat="1">
      <c r="A159" s="93" t="s">
        <v>58</v>
      </c>
      <c r="B159" s="78" t="s">
        <v>277</v>
      </c>
      <c r="C159" s="105"/>
      <c r="D159" s="106"/>
      <c r="E159" s="106"/>
      <c r="F159" s="106"/>
    </row>
    <row r="160" spans="1:26" s="92" customFormat="1">
      <c r="A160" s="93" t="s">
        <v>186</v>
      </c>
      <c r="B160" s="78" t="s">
        <v>279</v>
      </c>
      <c r="C160" s="105" t="s">
        <v>120</v>
      </c>
      <c r="D160" s="106">
        <v>1</v>
      </c>
      <c r="E160" s="106"/>
      <c r="F160" s="106">
        <f t="shared" si="20"/>
        <v>0</v>
      </c>
    </row>
    <row r="161" spans="1:26" s="92" customFormat="1">
      <c r="A161" s="93" t="s">
        <v>433</v>
      </c>
      <c r="B161" s="78" t="s">
        <v>280</v>
      </c>
      <c r="C161" s="105" t="s">
        <v>120</v>
      </c>
      <c r="D161" s="106">
        <v>2</v>
      </c>
      <c r="E161" s="106"/>
      <c r="F161" s="106">
        <f t="shared" si="20"/>
        <v>0</v>
      </c>
    </row>
    <row r="162" spans="1:26" s="92" customFormat="1">
      <c r="A162" s="93" t="s">
        <v>434</v>
      </c>
      <c r="B162" s="78" t="s">
        <v>281</v>
      </c>
      <c r="C162" s="105" t="s">
        <v>120</v>
      </c>
      <c r="D162" s="106">
        <v>1</v>
      </c>
      <c r="E162" s="106"/>
      <c r="F162" s="106">
        <f t="shared" si="20"/>
        <v>0</v>
      </c>
    </row>
    <row r="163" spans="1:26" s="92" customFormat="1">
      <c r="A163" s="93" t="s">
        <v>435</v>
      </c>
      <c r="B163" s="78" t="s">
        <v>282</v>
      </c>
      <c r="C163" s="105" t="s">
        <v>120</v>
      </c>
      <c r="D163" s="106">
        <v>1</v>
      </c>
      <c r="E163" s="106"/>
      <c r="F163" s="106">
        <f t="shared" si="20"/>
        <v>0</v>
      </c>
    </row>
    <row r="164" spans="1:26" s="92" customFormat="1">
      <c r="A164" s="93" t="s">
        <v>436</v>
      </c>
      <c r="B164" s="78" t="s">
        <v>283</v>
      </c>
      <c r="C164" s="105" t="s">
        <v>120</v>
      </c>
      <c r="D164" s="106">
        <v>2</v>
      </c>
      <c r="E164" s="106"/>
      <c r="F164" s="106">
        <f t="shared" si="20"/>
        <v>0</v>
      </c>
    </row>
    <row r="165" spans="1:26" s="92" customFormat="1">
      <c r="A165" s="93" t="s">
        <v>100</v>
      </c>
      <c r="B165" s="78" t="s">
        <v>284</v>
      </c>
      <c r="C165" s="105"/>
      <c r="D165" s="106"/>
      <c r="E165" s="106"/>
      <c r="F165" s="106"/>
    </row>
    <row r="166" spans="1:26" s="92" customFormat="1">
      <c r="A166" s="93" t="s">
        <v>187</v>
      </c>
      <c r="B166" s="78" t="s">
        <v>285</v>
      </c>
      <c r="C166" s="105" t="s">
        <v>120</v>
      </c>
      <c r="D166" s="106">
        <v>3</v>
      </c>
      <c r="E166" s="106"/>
      <c r="F166" s="106">
        <f t="shared" si="20"/>
        <v>0</v>
      </c>
    </row>
    <row r="167" spans="1:26" s="92" customFormat="1">
      <c r="A167" s="93" t="s">
        <v>437</v>
      </c>
      <c r="B167" s="78" t="s">
        <v>286</v>
      </c>
      <c r="C167" s="105" t="s">
        <v>120</v>
      </c>
      <c r="D167" s="106">
        <v>1</v>
      </c>
      <c r="E167" s="106"/>
      <c r="F167" s="106">
        <f t="shared" si="20"/>
        <v>0</v>
      </c>
    </row>
    <row r="168" spans="1:26" s="92" customFormat="1">
      <c r="A168" s="93" t="s">
        <v>438</v>
      </c>
      <c r="B168" s="78" t="s">
        <v>287</v>
      </c>
      <c r="C168" s="105" t="s">
        <v>120</v>
      </c>
      <c r="D168" s="106">
        <v>2</v>
      </c>
      <c r="E168" s="106"/>
      <c r="F168" s="106">
        <f t="shared" si="20"/>
        <v>0</v>
      </c>
    </row>
    <row r="169" spans="1:26" s="92" customFormat="1">
      <c r="A169" s="93" t="s">
        <v>111</v>
      </c>
      <c r="B169" s="78" t="s">
        <v>288</v>
      </c>
      <c r="C169" s="105"/>
      <c r="D169" s="106"/>
      <c r="E169" s="106"/>
      <c r="F169" s="106"/>
    </row>
    <row r="170" spans="1:26" s="92" customFormat="1">
      <c r="A170" s="93" t="s">
        <v>189</v>
      </c>
      <c r="B170" s="78" t="s">
        <v>289</v>
      </c>
      <c r="C170" s="105" t="s">
        <v>120</v>
      </c>
      <c r="D170" s="106">
        <v>1</v>
      </c>
      <c r="E170" s="106"/>
      <c r="F170" s="106">
        <f t="shared" si="20"/>
        <v>0</v>
      </c>
    </row>
    <row r="171" spans="1:26" s="92" customFormat="1">
      <c r="A171" s="93" t="s">
        <v>311</v>
      </c>
      <c r="B171" s="78" t="s">
        <v>290</v>
      </c>
      <c r="C171" s="105" t="s">
        <v>120</v>
      </c>
      <c r="D171" s="106">
        <v>2</v>
      </c>
      <c r="E171" s="106"/>
      <c r="F171" s="106">
        <f t="shared" si="20"/>
        <v>0</v>
      </c>
    </row>
    <row r="172" spans="1:26" s="92" customFormat="1" ht="16" customHeight="1">
      <c r="A172" s="93" t="s">
        <v>439</v>
      </c>
      <c r="B172" s="187" t="s">
        <v>295</v>
      </c>
      <c r="C172" s="105"/>
      <c r="D172" s="106"/>
      <c r="E172" s="106"/>
      <c r="F172" s="106"/>
    </row>
    <row r="173" spans="1:26" s="92" customFormat="1" ht="16" customHeight="1">
      <c r="A173" s="93" t="s">
        <v>440</v>
      </c>
      <c r="B173" s="78" t="s">
        <v>294</v>
      </c>
      <c r="C173" s="105" t="s">
        <v>44</v>
      </c>
      <c r="D173" s="106">
        <f>72*2*0.1</f>
        <v>14.4</v>
      </c>
      <c r="E173" s="106"/>
      <c r="F173" s="106">
        <f t="shared" si="20"/>
        <v>0</v>
      </c>
    </row>
    <row r="174" spans="1:26" s="92" customFormat="1" ht="16" customHeight="1">
      <c r="A174" s="93" t="s">
        <v>441</v>
      </c>
      <c r="B174" s="78" t="s">
        <v>232</v>
      </c>
      <c r="C174" s="105" t="s">
        <v>44</v>
      </c>
      <c r="D174" s="106">
        <f>2*10</f>
        <v>20</v>
      </c>
      <c r="E174" s="106"/>
      <c r="F174" s="106">
        <f t="shared" si="20"/>
        <v>0</v>
      </c>
    </row>
    <row r="175" spans="1:26" s="92" customFormat="1" ht="16" customHeight="1" thickBot="1">
      <c r="A175" s="93" t="s">
        <v>442</v>
      </c>
      <c r="B175" s="78" t="s">
        <v>329</v>
      </c>
      <c r="C175" s="190" t="s">
        <v>330</v>
      </c>
      <c r="D175" s="106">
        <f>1.6*40*0.2</f>
        <v>12.8</v>
      </c>
      <c r="E175" s="106"/>
      <c r="F175" s="106">
        <f t="shared" si="20"/>
        <v>0</v>
      </c>
    </row>
    <row r="176" spans="1:26" s="141" customFormat="1" ht="15.75" customHeight="1" thickBot="1">
      <c r="A176" s="191" t="s">
        <v>54</v>
      </c>
      <c r="B176" s="95" t="s">
        <v>297</v>
      </c>
      <c r="C176" s="96"/>
      <c r="D176" s="97"/>
      <c r="E176" s="98"/>
      <c r="F176" s="99">
        <f>SUM(F156:F175)</f>
        <v>0</v>
      </c>
      <c r="G176" s="143"/>
      <c r="H176" s="140"/>
      <c r="I176" s="140"/>
      <c r="J176" s="140"/>
      <c r="K176" s="140"/>
      <c r="L176" s="140"/>
      <c r="M176" s="140"/>
      <c r="N176" s="140"/>
      <c r="O176" s="140"/>
      <c r="P176" s="140"/>
      <c r="Q176" s="140"/>
      <c r="R176" s="140"/>
      <c r="S176" s="140"/>
      <c r="T176" s="140"/>
      <c r="U176" s="140"/>
      <c r="V176" s="140"/>
      <c r="W176" s="140"/>
      <c r="X176" s="140"/>
      <c r="Y176" s="140"/>
      <c r="Z176" s="140"/>
    </row>
    <row r="177" spans="1:26" s="23" customFormat="1">
      <c r="A177" s="37" t="s">
        <v>457</v>
      </c>
      <c r="B177" s="100" t="s">
        <v>458</v>
      </c>
      <c r="C177" s="101"/>
      <c r="D177" s="102"/>
      <c r="E177" s="103"/>
      <c r="F177" s="104"/>
    </row>
    <row r="178" spans="1:26" s="92" customFormat="1" ht="130.5">
      <c r="A178" s="93" t="s">
        <v>460</v>
      </c>
      <c r="B178" s="78" t="s">
        <v>461</v>
      </c>
      <c r="C178" s="105" t="s">
        <v>120</v>
      </c>
      <c r="D178" s="106">
        <v>1</v>
      </c>
      <c r="E178" s="106"/>
      <c r="F178" s="106"/>
    </row>
    <row r="179" spans="1:26" s="92" customFormat="1" ht="116">
      <c r="A179" s="93" t="s">
        <v>462</v>
      </c>
      <c r="B179" s="78" t="s">
        <v>465</v>
      </c>
      <c r="C179" s="105" t="s">
        <v>120</v>
      </c>
      <c r="D179" s="106">
        <v>2</v>
      </c>
      <c r="E179" s="106"/>
      <c r="F179" s="106">
        <f>D179*E179</f>
        <v>0</v>
      </c>
    </row>
    <row r="180" spans="1:26" s="92" customFormat="1" ht="102" thickBot="1">
      <c r="A180" s="93" t="s">
        <v>459</v>
      </c>
      <c r="B180" s="78" t="s">
        <v>464</v>
      </c>
      <c r="C180" s="105" t="s">
        <v>120</v>
      </c>
      <c r="D180" s="106">
        <v>1</v>
      </c>
      <c r="E180" s="106"/>
      <c r="F180" s="106">
        <f>D180*E180</f>
        <v>0</v>
      </c>
    </row>
    <row r="181" spans="1:26" s="141" customFormat="1" ht="15.75" customHeight="1" thickBot="1">
      <c r="A181" s="191" t="s">
        <v>457</v>
      </c>
      <c r="B181" s="95" t="s">
        <v>463</v>
      </c>
      <c r="C181" s="96"/>
      <c r="D181" s="97"/>
      <c r="E181" s="98"/>
      <c r="F181" s="99">
        <f>SUM(F178:F180)</f>
        <v>0</v>
      </c>
      <c r="G181" s="143"/>
      <c r="H181" s="140"/>
      <c r="I181" s="140"/>
      <c r="J181" s="140"/>
      <c r="K181" s="140"/>
      <c r="L181" s="140"/>
      <c r="M181" s="140"/>
      <c r="N181" s="140"/>
      <c r="O181" s="140"/>
      <c r="P181" s="140"/>
      <c r="Q181" s="140"/>
      <c r="R181" s="140"/>
      <c r="S181" s="140"/>
      <c r="T181" s="140"/>
      <c r="U181" s="140"/>
      <c r="V181" s="140"/>
      <c r="W181" s="140"/>
      <c r="X181" s="140"/>
      <c r="Y181" s="140"/>
      <c r="Z181" s="140"/>
    </row>
  </sheetData>
  <mergeCells count="1">
    <mergeCell ref="A1:F1"/>
  </mergeCells>
  <phoneticPr fontId="13" type="noConversion"/>
  <pageMargins left="0.7" right="0.7" top="0.75" bottom="0.75" header="0.3" footer="0.3"/>
  <pageSetup scale="75" fitToHeight="0" orientation="portrait" r:id="rId1"/>
  <headerFooter>
    <oddHeader>&amp;F</oddHeader>
    <oddFooter>&amp;CPage &amp;P / &amp;N</oddFooter>
  </headerFooter>
  <rowBreaks count="3" manualBreakCount="3">
    <brk id="29" max="5" man="1"/>
    <brk id="73" max="5" man="1"/>
    <brk id="109"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599"/>
  <sheetViews>
    <sheetView topLeftCell="A214" workbookViewId="0">
      <selection activeCell="D225" sqref="D225"/>
    </sheetView>
  </sheetViews>
  <sheetFormatPr defaultColWidth="14.453125" defaultRowHeight="15" customHeight="1"/>
  <cols>
    <col min="1" max="1" width="7.453125" customWidth="1"/>
    <col min="2" max="2" width="7.1796875" customWidth="1"/>
    <col min="3" max="3" width="10.453125" customWidth="1"/>
    <col min="4" max="4" width="46.453125" customWidth="1"/>
    <col min="5" max="17" width="8.6328125" customWidth="1"/>
  </cols>
  <sheetData>
    <row r="1" spans="1:17" ht="14.5">
      <c r="A1" s="147"/>
      <c r="B1" s="147"/>
      <c r="C1" s="147"/>
      <c r="D1" s="147" t="s">
        <v>46</v>
      </c>
      <c r="E1" s="84"/>
      <c r="F1" s="84"/>
      <c r="G1" s="84"/>
      <c r="H1" s="84"/>
      <c r="I1" s="84"/>
      <c r="J1" s="84"/>
      <c r="K1" s="84"/>
      <c r="L1" s="84"/>
      <c r="M1" s="84"/>
      <c r="N1" s="84"/>
      <c r="O1" s="84"/>
      <c r="P1" s="84"/>
      <c r="Q1" s="84"/>
    </row>
    <row r="2" spans="1:17" ht="15.75" customHeight="1">
      <c r="A2" s="148"/>
      <c r="B2" s="149"/>
      <c r="C2" s="149"/>
      <c r="D2" s="149"/>
    </row>
    <row r="3" spans="1:17" ht="15.75" customHeight="1">
      <c r="A3" s="149"/>
      <c r="B3" s="149"/>
      <c r="C3" s="149"/>
      <c r="D3" s="150" t="s">
        <v>291</v>
      </c>
    </row>
    <row r="4" spans="1:17" ht="15.75" customHeight="1">
      <c r="A4" s="149">
        <v>1</v>
      </c>
      <c r="B4" s="149">
        <v>4</v>
      </c>
      <c r="C4" s="149"/>
      <c r="D4" s="149" t="s">
        <v>150</v>
      </c>
    </row>
    <row r="5" spans="1:17" ht="15.75" customHeight="1">
      <c r="A5" s="151"/>
      <c r="B5" s="151">
        <v>10</v>
      </c>
      <c r="C5" s="151">
        <f>PRODUCT(A4:B5)</f>
        <v>40</v>
      </c>
      <c r="D5" s="149"/>
    </row>
    <row r="6" spans="1:17" ht="15.75" customHeight="1" thickBot="1">
      <c r="A6" s="149"/>
      <c r="B6" s="149"/>
      <c r="C6" s="152">
        <f>SUM(C4:C5)</f>
        <v>40</v>
      </c>
      <c r="D6" s="149" t="s">
        <v>139</v>
      </c>
    </row>
    <row r="7" spans="1:17" ht="15.75" customHeight="1" thickTop="1">
      <c r="A7" s="153"/>
      <c r="B7" s="149"/>
      <c r="C7" s="149"/>
      <c r="D7" s="149"/>
    </row>
    <row r="8" spans="1:17" ht="15.75" customHeight="1">
      <c r="A8" s="149"/>
      <c r="B8" s="149"/>
      <c r="C8" s="149"/>
      <c r="D8" s="150" t="s">
        <v>292</v>
      </c>
    </row>
    <row r="9" spans="1:17" ht="15.75" customHeight="1">
      <c r="A9" s="149"/>
      <c r="B9" s="149"/>
      <c r="C9" s="149"/>
      <c r="D9" s="154" t="s">
        <v>141</v>
      </c>
    </row>
    <row r="10" spans="1:17" ht="15.75" customHeight="1">
      <c r="A10" s="149"/>
      <c r="B10" s="149"/>
      <c r="C10" s="149"/>
      <c r="D10" s="155" t="s">
        <v>149</v>
      </c>
    </row>
    <row r="11" spans="1:17" ht="15.75" customHeight="1">
      <c r="A11" s="149"/>
      <c r="B11" s="149"/>
      <c r="C11" s="149"/>
      <c r="D11" s="149"/>
    </row>
    <row r="12" spans="1:17" ht="15.75" customHeight="1">
      <c r="A12" s="148">
        <v>2</v>
      </c>
      <c r="B12" s="149">
        <v>13</v>
      </c>
      <c r="C12" s="149"/>
      <c r="D12" s="149"/>
    </row>
    <row r="13" spans="1:17" ht="15.75" customHeight="1">
      <c r="A13" s="151"/>
      <c r="B13" s="151">
        <v>4</v>
      </c>
      <c r="C13" s="151">
        <f>PRODUCT(A12:B13)</f>
        <v>104</v>
      </c>
      <c r="D13" s="149"/>
    </row>
    <row r="14" spans="1:17" ht="15.75" customHeight="1">
      <c r="A14" s="149"/>
      <c r="B14" s="149"/>
      <c r="C14" s="149"/>
      <c r="D14" s="149" t="s">
        <v>140</v>
      </c>
    </row>
    <row r="15" spans="1:17" ht="15.75" customHeight="1">
      <c r="A15" s="227">
        <v>-2</v>
      </c>
      <c r="B15" s="149">
        <v>2.2999999999999998</v>
      </c>
      <c r="C15" s="149"/>
      <c r="D15" s="149" t="s">
        <v>145</v>
      </c>
    </row>
    <row r="16" spans="1:17" ht="15.75" customHeight="1">
      <c r="A16" s="228"/>
      <c r="B16" s="151">
        <v>2.65</v>
      </c>
      <c r="C16" s="151">
        <f>PRODUCT(A15:B16)</f>
        <v>-12.19</v>
      </c>
      <c r="D16" s="149"/>
    </row>
    <row r="17" spans="1:4" ht="15.75" customHeight="1">
      <c r="A17" s="149"/>
      <c r="B17" s="149"/>
      <c r="C17" s="149"/>
      <c r="D17" s="149"/>
    </row>
    <row r="18" spans="1:4" ht="15.75" customHeight="1">
      <c r="A18" s="227">
        <v>2</v>
      </c>
      <c r="B18" s="149">
        <v>13</v>
      </c>
      <c r="C18" s="149"/>
      <c r="D18" s="149"/>
    </row>
    <row r="19" spans="1:4" ht="15.75" customHeight="1">
      <c r="A19" s="228"/>
      <c r="B19" s="151">
        <v>4</v>
      </c>
      <c r="C19" s="151">
        <f>PRODUCT(A18:B19)</f>
        <v>104</v>
      </c>
      <c r="D19" s="149"/>
    </row>
    <row r="20" spans="1:4" ht="15.75" customHeight="1">
      <c r="A20" s="149"/>
      <c r="B20" s="149"/>
      <c r="C20" s="149"/>
      <c r="D20" s="149" t="s">
        <v>145</v>
      </c>
    </row>
    <row r="21" spans="1:4" ht="15.75" customHeight="1">
      <c r="A21" s="227">
        <v>-2</v>
      </c>
      <c r="B21" s="149">
        <v>2.2999999999999998</v>
      </c>
      <c r="C21" s="149"/>
      <c r="D21" s="149"/>
    </row>
    <row r="22" spans="1:4" ht="15.75" customHeight="1">
      <c r="A22" s="228"/>
      <c r="B22" s="151">
        <v>2.65</v>
      </c>
      <c r="C22" s="151">
        <f>PRODUCT(A21:B22)</f>
        <v>-12.19</v>
      </c>
      <c r="D22" s="149"/>
    </row>
    <row r="23" spans="1:4" ht="15.75" customHeight="1">
      <c r="A23" s="149"/>
      <c r="B23" s="149"/>
      <c r="C23" s="149"/>
      <c r="D23" s="149" t="s">
        <v>145</v>
      </c>
    </row>
    <row r="24" spans="1:4" ht="15.75" customHeight="1">
      <c r="A24" s="227">
        <v>-2</v>
      </c>
      <c r="B24" s="149">
        <v>5.6</v>
      </c>
      <c r="C24" s="149"/>
      <c r="D24" s="149"/>
    </row>
    <row r="25" spans="1:4" ht="15.75" customHeight="1">
      <c r="A25" s="228"/>
      <c r="B25" s="151">
        <v>2.65</v>
      </c>
      <c r="C25" s="151">
        <f>PRODUCT(A24:B25)</f>
        <v>-29.679999999999996</v>
      </c>
      <c r="D25" s="149"/>
    </row>
    <row r="26" spans="1:4" ht="15.75" customHeight="1">
      <c r="A26" s="149"/>
      <c r="B26" s="149"/>
      <c r="C26" s="149"/>
      <c r="D26" s="149" t="s">
        <v>146</v>
      </c>
    </row>
    <row r="27" spans="1:4" ht="15.75" customHeight="1">
      <c r="A27" s="227">
        <v>1</v>
      </c>
      <c r="B27" s="149">
        <v>10</v>
      </c>
      <c r="C27" s="149"/>
      <c r="D27" s="149"/>
    </row>
    <row r="28" spans="1:4" ht="15.75" customHeight="1">
      <c r="A28" s="228"/>
      <c r="B28" s="151">
        <v>4</v>
      </c>
      <c r="C28" s="151">
        <f>PRODUCT(A27:B28)</f>
        <v>40</v>
      </c>
      <c r="D28" s="149"/>
    </row>
    <row r="29" spans="1:4" ht="15.75" customHeight="1">
      <c r="A29" s="153"/>
      <c r="B29" s="149"/>
      <c r="C29" s="149"/>
      <c r="D29" s="149" t="s">
        <v>147</v>
      </c>
    </row>
    <row r="30" spans="1:4" ht="15.75" customHeight="1">
      <c r="A30" s="153">
        <v>-3</v>
      </c>
      <c r="B30" s="149">
        <v>2.65</v>
      </c>
      <c r="C30" s="149"/>
      <c r="D30" s="149"/>
    </row>
    <row r="31" spans="1:4" ht="15.75" customHeight="1">
      <c r="A31" s="151"/>
      <c r="B31" s="151">
        <v>1</v>
      </c>
      <c r="C31" s="151">
        <f>PRODUCT(A30:B31)</f>
        <v>-7.9499999999999993</v>
      </c>
      <c r="D31" s="149"/>
    </row>
    <row r="32" spans="1:4" ht="15.75" customHeight="1">
      <c r="A32" s="149"/>
      <c r="B32" s="149"/>
      <c r="C32" s="149"/>
      <c r="D32" s="149"/>
    </row>
    <row r="33" spans="1:4" ht="15.75" customHeight="1">
      <c r="A33" s="149"/>
      <c r="B33" s="149"/>
      <c r="C33" s="149"/>
      <c r="D33" s="149" t="s">
        <v>148</v>
      </c>
    </row>
    <row r="34" spans="1:4" ht="15.75" customHeight="1">
      <c r="A34" s="148">
        <v>4</v>
      </c>
      <c r="B34" s="149">
        <v>2.5</v>
      </c>
      <c r="C34" s="149"/>
      <c r="D34" s="149"/>
    </row>
    <row r="35" spans="1:4" ht="15.75" customHeight="1">
      <c r="A35" s="151"/>
      <c r="B35" s="151">
        <v>7</v>
      </c>
      <c r="C35" s="151">
        <f>PRODUCT(A34:B35)</f>
        <v>70</v>
      </c>
      <c r="D35" s="149"/>
    </row>
    <row r="36" spans="1:4" ht="15.75" customHeight="1" thickBot="1">
      <c r="A36" s="153"/>
      <c r="B36" s="149"/>
      <c r="C36" s="157">
        <f>SUM(C11:C35)</f>
        <v>255.99</v>
      </c>
      <c r="D36" s="149" t="s">
        <v>139</v>
      </c>
    </row>
    <row r="37" spans="1:4" ht="15.75" customHeight="1" thickTop="1">
      <c r="A37" s="149"/>
      <c r="B37" s="149"/>
      <c r="C37" s="149"/>
      <c r="D37" s="155" t="s">
        <v>152</v>
      </c>
    </row>
    <row r="38" spans="1:4" ht="15.75" customHeight="1">
      <c r="A38" s="149"/>
      <c r="B38" s="149"/>
      <c r="C38" s="149"/>
      <c r="D38" s="149"/>
    </row>
    <row r="39" spans="1:4" ht="15.75" customHeight="1">
      <c r="A39" s="148">
        <v>2</v>
      </c>
      <c r="B39" s="149">
        <v>5</v>
      </c>
      <c r="C39" s="149"/>
      <c r="D39" s="149"/>
    </row>
    <row r="40" spans="1:4" ht="15.75" customHeight="1">
      <c r="A40" s="151"/>
      <c r="B40" s="151">
        <v>42</v>
      </c>
      <c r="C40" s="151">
        <f>PRODUCT(A39:B40)</f>
        <v>420</v>
      </c>
      <c r="D40" s="149" t="s">
        <v>179</v>
      </c>
    </row>
    <row r="41" spans="1:4" ht="15.75" customHeight="1">
      <c r="A41" s="149"/>
      <c r="B41" s="149"/>
      <c r="C41" s="149"/>
      <c r="D41" s="149"/>
    </row>
    <row r="42" spans="1:4" ht="15.75" customHeight="1">
      <c r="A42" s="227">
        <v>2</v>
      </c>
      <c r="B42" s="149">
        <v>3</v>
      </c>
      <c r="C42" s="149"/>
      <c r="D42" s="149"/>
    </row>
    <row r="43" spans="1:4" ht="15.75" customHeight="1">
      <c r="A43" s="228"/>
      <c r="B43" s="151">
        <v>3</v>
      </c>
      <c r="C43" s="151">
        <f>PRODUCT(A42:B43)</f>
        <v>18</v>
      </c>
      <c r="D43" s="149" t="s">
        <v>176</v>
      </c>
    </row>
    <row r="44" spans="1:4" ht="15.75" customHeight="1">
      <c r="A44" s="149"/>
      <c r="B44" s="149"/>
      <c r="C44" s="149"/>
      <c r="D44" s="149" t="s">
        <v>140</v>
      </c>
    </row>
    <row r="45" spans="1:4" ht="15.75" customHeight="1">
      <c r="A45" s="227">
        <v>-1</v>
      </c>
      <c r="B45" s="149">
        <v>3.5</v>
      </c>
      <c r="C45" s="149"/>
      <c r="D45" s="149"/>
    </row>
    <row r="46" spans="1:4" ht="15.75" customHeight="1">
      <c r="A46" s="228"/>
      <c r="B46" s="151">
        <v>2.65</v>
      </c>
      <c r="C46" s="151">
        <f>PRODUCT(A45:B46)</f>
        <v>-9.2750000000000004</v>
      </c>
      <c r="D46" s="149" t="s">
        <v>164</v>
      </c>
    </row>
    <row r="47" spans="1:4" ht="15.75" customHeight="1">
      <c r="A47" s="149"/>
      <c r="B47" s="149"/>
      <c r="C47" s="149"/>
      <c r="D47" s="149"/>
    </row>
    <row r="48" spans="1:4" ht="15.75" customHeight="1">
      <c r="A48" s="227">
        <v>-1</v>
      </c>
      <c r="B48" s="149">
        <v>1.8</v>
      </c>
      <c r="C48" s="149"/>
      <c r="D48" s="149"/>
    </row>
    <row r="49" spans="1:4" ht="15.75" customHeight="1">
      <c r="A49" s="228"/>
      <c r="B49" s="151">
        <v>2.65</v>
      </c>
      <c r="C49" s="151">
        <f>PRODUCT(A48:B49)</f>
        <v>-4.7699999999999996</v>
      </c>
      <c r="D49" s="149" t="s">
        <v>195</v>
      </c>
    </row>
    <row r="50" spans="1:4" ht="15.75" customHeight="1">
      <c r="A50" s="149"/>
      <c r="B50" s="149"/>
      <c r="C50" s="149"/>
      <c r="D50" s="149"/>
    </row>
    <row r="51" spans="1:4" ht="15.75" customHeight="1">
      <c r="A51" s="227">
        <v>-1</v>
      </c>
      <c r="B51" s="149">
        <v>1.1499999999999999</v>
      </c>
      <c r="C51" s="149"/>
      <c r="D51" s="149"/>
    </row>
    <row r="52" spans="1:4" ht="15.75" customHeight="1">
      <c r="A52" s="228"/>
      <c r="B52" s="151">
        <v>2.1</v>
      </c>
      <c r="C52" s="151">
        <f>PRODUCT(A51:B52)</f>
        <v>-2.415</v>
      </c>
      <c r="D52" s="149" t="s">
        <v>191</v>
      </c>
    </row>
    <row r="53" spans="1:4" ht="15.75" customHeight="1">
      <c r="A53" s="149"/>
      <c r="B53" s="149"/>
      <c r="C53" s="149"/>
      <c r="D53" s="149"/>
    </row>
    <row r="54" spans="1:4" ht="15.75" customHeight="1">
      <c r="A54" s="227">
        <v>-1</v>
      </c>
      <c r="B54" s="149">
        <v>2.2999999999999998</v>
      </c>
      <c r="C54" s="149"/>
      <c r="D54" s="149"/>
    </row>
    <row r="55" spans="1:4" ht="15.75" customHeight="1">
      <c r="A55" s="228"/>
      <c r="B55" s="151">
        <v>2.65</v>
      </c>
      <c r="C55" s="151">
        <f>PRODUCT(A54:B55)</f>
        <v>-6.0949999999999998</v>
      </c>
      <c r="D55" s="149" t="s">
        <v>192</v>
      </c>
    </row>
    <row r="56" spans="1:4" ht="15.75" customHeight="1">
      <c r="A56" s="153"/>
      <c r="B56" s="149"/>
      <c r="C56" s="149"/>
      <c r="D56" s="149"/>
    </row>
    <row r="57" spans="1:4" ht="15.75" customHeight="1">
      <c r="A57" s="153">
        <v>-1</v>
      </c>
      <c r="B57" s="149">
        <v>1.2</v>
      </c>
      <c r="C57" s="149"/>
      <c r="D57" s="149"/>
    </row>
    <row r="58" spans="1:4" ht="15.75" customHeight="1">
      <c r="A58" s="151"/>
      <c r="B58" s="151">
        <v>2.1</v>
      </c>
      <c r="C58" s="151">
        <f>PRODUCT(A57:B58)</f>
        <v>-2.52</v>
      </c>
      <c r="D58" s="149" t="s">
        <v>193</v>
      </c>
    </row>
    <row r="59" spans="1:4" ht="15.75" customHeight="1">
      <c r="A59" s="149"/>
      <c r="B59" s="149"/>
      <c r="C59" s="149"/>
      <c r="D59" s="149"/>
    </row>
    <row r="60" spans="1:4" ht="15.75" customHeight="1">
      <c r="A60" s="148">
        <v>-1</v>
      </c>
      <c r="B60" s="149">
        <v>0.9</v>
      </c>
      <c r="C60" s="149"/>
      <c r="D60" s="149"/>
    </row>
    <row r="61" spans="1:4" ht="15.75" customHeight="1">
      <c r="A61" s="151"/>
      <c r="B61" s="151">
        <v>2.1</v>
      </c>
      <c r="C61" s="151">
        <f>PRODUCT(A60:B61)</f>
        <v>-1.8900000000000001</v>
      </c>
      <c r="D61" s="149" t="s">
        <v>194</v>
      </c>
    </row>
    <row r="62" spans="1:4" ht="15.75" customHeight="1">
      <c r="A62" s="149"/>
      <c r="B62" s="149"/>
      <c r="C62" s="149"/>
      <c r="D62" s="149"/>
    </row>
    <row r="63" spans="1:4" ht="15.75" customHeight="1">
      <c r="A63" s="227">
        <v>-1</v>
      </c>
      <c r="B63" s="149">
        <v>1.2</v>
      </c>
      <c r="C63" s="149"/>
      <c r="D63" s="149"/>
    </row>
    <row r="64" spans="1:4" ht="15.75" customHeight="1">
      <c r="A64" s="228"/>
      <c r="B64" s="151">
        <v>2.1</v>
      </c>
      <c r="C64" s="151">
        <f>PRODUCT(A63:B64)</f>
        <v>-2.52</v>
      </c>
      <c r="D64" s="149" t="s">
        <v>196</v>
      </c>
    </row>
    <row r="65" spans="1:4" ht="15.75" customHeight="1">
      <c r="A65" s="149"/>
      <c r="B65" s="149"/>
      <c r="C65" s="149"/>
      <c r="D65" s="149"/>
    </row>
    <row r="66" spans="1:4" ht="15.75" customHeight="1">
      <c r="A66" s="227">
        <v>-1</v>
      </c>
      <c r="B66" s="149">
        <v>2.6</v>
      </c>
      <c r="C66" s="149"/>
      <c r="D66" s="149"/>
    </row>
    <row r="67" spans="1:4" ht="15.75" customHeight="1">
      <c r="A67" s="228"/>
      <c r="B67" s="151">
        <v>2.1</v>
      </c>
      <c r="C67" s="151">
        <f>PRODUCT(A66:B67)</f>
        <v>-5.4600000000000009</v>
      </c>
      <c r="D67" s="149" t="s">
        <v>197</v>
      </c>
    </row>
    <row r="68" spans="1:4" ht="15.75" customHeight="1">
      <c r="A68" s="149"/>
      <c r="B68" s="149"/>
      <c r="C68" s="149"/>
      <c r="D68" s="149"/>
    </row>
    <row r="69" spans="1:4" ht="15.75" customHeight="1">
      <c r="A69" s="227">
        <v>-1</v>
      </c>
      <c r="B69" s="149">
        <v>1.2</v>
      </c>
      <c r="C69" s="149"/>
      <c r="D69" s="149"/>
    </row>
    <row r="70" spans="1:4" ht="15.75" customHeight="1">
      <c r="A70" s="228"/>
      <c r="B70" s="151">
        <v>2.1</v>
      </c>
      <c r="C70" s="151">
        <f>PRODUCT(A69:B70)</f>
        <v>-2.52</v>
      </c>
      <c r="D70" s="149" t="s">
        <v>198</v>
      </c>
    </row>
    <row r="71" spans="1:4" ht="15.75" customHeight="1">
      <c r="A71" s="153"/>
      <c r="B71" s="149"/>
      <c r="C71" s="149"/>
      <c r="D71" s="149"/>
    </row>
    <row r="72" spans="1:4" ht="15.75" customHeight="1">
      <c r="A72" s="153">
        <v>-1</v>
      </c>
      <c r="B72" s="149">
        <v>1.2</v>
      </c>
      <c r="C72" s="149"/>
      <c r="D72" s="149"/>
    </row>
    <row r="73" spans="1:4" ht="15.75" customHeight="1">
      <c r="A73" s="151"/>
      <c r="B73" s="151">
        <v>2.1</v>
      </c>
      <c r="C73" s="151">
        <f>PRODUCT(A72:B73)</f>
        <v>-2.52</v>
      </c>
      <c r="D73" s="149" t="s">
        <v>199</v>
      </c>
    </row>
    <row r="74" spans="1:4" ht="15.75" customHeight="1">
      <c r="A74" s="149"/>
      <c r="B74" s="149"/>
      <c r="C74" s="149"/>
      <c r="D74" s="149"/>
    </row>
    <row r="75" spans="1:4" ht="15.75" customHeight="1">
      <c r="A75" s="148">
        <v>-1</v>
      </c>
      <c r="B75" s="149">
        <v>2.4</v>
      </c>
      <c r="C75" s="149"/>
      <c r="D75" s="149"/>
    </row>
    <row r="76" spans="1:4" ht="15.75" customHeight="1">
      <c r="A76" s="151"/>
      <c r="B76" s="151">
        <v>2.1</v>
      </c>
      <c r="C76" s="151">
        <f>PRODUCT(A75:B76)</f>
        <v>-5.04</v>
      </c>
      <c r="D76" s="149" t="s">
        <v>200</v>
      </c>
    </row>
    <row r="77" spans="1:4" ht="15.75" customHeight="1">
      <c r="A77" s="149"/>
      <c r="B77" s="149"/>
      <c r="C77" s="149"/>
      <c r="D77" s="149"/>
    </row>
    <row r="78" spans="1:4" ht="15.75" customHeight="1">
      <c r="A78" s="148">
        <v>-1</v>
      </c>
      <c r="B78" s="149">
        <v>0.9</v>
      </c>
      <c r="C78" s="149"/>
      <c r="D78" s="149"/>
    </row>
    <row r="79" spans="1:4" ht="15.75" customHeight="1">
      <c r="A79" s="151"/>
      <c r="B79" s="151">
        <v>2.1</v>
      </c>
      <c r="C79" s="151">
        <f>PRODUCT(A78:B79)</f>
        <v>-1.8900000000000001</v>
      </c>
      <c r="D79" s="149" t="s">
        <v>201</v>
      </c>
    </row>
    <row r="80" spans="1:4" ht="15.75" customHeight="1">
      <c r="A80" s="149"/>
      <c r="B80" s="149"/>
      <c r="C80" s="149"/>
      <c r="D80" s="149"/>
    </row>
    <row r="81" spans="1:4" ht="15.75" customHeight="1">
      <c r="A81" s="227">
        <v>-2</v>
      </c>
      <c r="B81" s="149">
        <v>1</v>
      </c>
      <c r="C81" s="149"/>
      <c r="D81" s="149"/>
    </row>
    <row r="82" spans="1:4" ht="15.75" customHeight="1">
      <c r="A82" s="228"/>
      <c r="B82" s="151">
        <v>1.8</v>
      </c>
      <c r="C82" s="151">
        <f>PRODUCT(A81:B82)</f>
        <v>-3.6</v>
      </c>
      <c r="D82" s="149" t="s">
        <v>202</v>
      </c>
    </row>
    <row r="83" spans="1:4" ht="15.75" customHeight="1">
      <c r="A83" s="149"/>
      <c r="B83" s="149"/>
      <c r="C83" s="149"/>
      <c r="D83" s="149"/>
    </row>
    <row r="84" spans="1:4" ht="15.75" customHeight="1">
      <c r="A84" s="227">
        <v>-1</v>
      </c>
      <c r="B84" s="149">
        <v>1.3</v>
      </c>
      <c r="C84" s="149"/>
      <c r="D84" s="149"/>
    </row>
    <row r="85" spans="1:4" ht="15.75" customHeight="1">
      <c r="A85" s="228"/>
      <c r="B85" s="151">
        <v>1.8</v>
      </c>
      <c r="C85" s="151">
        <f>PRODUCT(A84:B85)</f>
        <v>-2.3400000000000003</v>
      </c>
      <c r="D85" s="149" t="s">
        <v>203</v>
      </c>
    </row>
    <row r="86" spans="1:4" ht="15.75" customHeight="1" thickBot="1">
      <c r="A86" s="153"/>
      <c r="B86" s="149"/>
      <c r="C86" s="157">
        <f>SUM(C38:C85)</f>
        <v>385.1450000000001</v>
      </c>
      <c r="D86" s="149" t="s">
        <v>139</v>
      </c>
    </row>
    <row r="87" spans="1:4" ht="15.75" customHeight="1" thickTop="1">
      <c r="A87" s="153"/>
      <c r="B87" s="149"/>
      <c r="C87" s="158"/>
      <c r="D87" s="149"/>
    </row>
    <row r="88" spans="1:4" ht="15.75" customHeight="1">
      <c r="A88" s="149"/>
      <c r="B88" s="149"/>
      <c r="C88" s="149"/>
      <c r="D88" s="155" t="s">
        <v>153</v>
      </c>
    </row>
    <row r="89" spans="1:4" ht="15.75" customHeight="1">
      <c r="A89" s="149"/>
      <c r="B89" s="149"/>
      <c r="C89" s="149"/>
      <c r="D89" s="149"/>
    </row>
    <row r="90" spans="1:4" ht="15.75" customHeight="1">
      <c r="A90" s="148">
        <v>2</v>
      </c>
      <c r="B90" s="149">
        <v>72</v>
      </c>
      <c r="C90" s="149"/>
      <c r="D90" s="149"/>
    </row>
    <row r="91" spans="1:4" ht="15.75" customHeight="1">
      <c r="A91" s="151"/>
      <c r="B91" s="151">
        <v>5</v>
      </c>
      <c r="C91" s="151">
        <f>PRODUCT(A90:B91)</f>
        <v>720</v>
      </c>
      <c r="D91" s="149" t="s">
        <v>179</v>
      </c>
    </row>
    <row r="92" spans="1:4" ht="15.75" customHeight="1">
      <c r="A92" s="149"/>
      <c r="B92" s="149"/>
      <c r="C92" s="149"/>
      <c r="D92" s="149"/>
    </row>
    <row r="93" spans="1:4" ht="15.75" customHeight="1">
      <c r="A93" s="227">
        <v>2</v>
      </c>
      <c r="B93" s="149">
        <v>3</v>
      </c>
      <c r="C93" s="149"/>
      <c r="D93" s="149"/>
    </row>
    <row r="94" spans="1:4" ht="15.75" customHeight="1">
      <c r="A94" s="228"/>
      <c r="B94" s="151">
        <v>3</v>
      </c>
      <c r="C94" s="151">
        <f>PRODUCT(A93:B94)</f>
        <v>18</v>
      </c>
      <c r="D94" s="149" t="s">
        <v>180</v>
      </c>
    </row>
    <row r="95" spans="1:4" ht="15.75" customHeight="1">
      <c r="A95" s="149"/>
      <c r="B95" s="149"/>
      <c r="C95" s="149"/>
      <c r="D95" s="149"/>
    </row>
    <row r="96" spans="1:4" ht="15.75" customHeight="1">
      <c r="A96" s="227">
        <v>-1</v>
      </c>
      <c r="B96" s="149">
        <v>3</v>
      </c>
      <c r="C96" s="149"/>
      <c r="D96" s="149"/>
    </row>
    <row r="97" spans="1:4" ht="15.75" customHeight="1">
      <c r="A97" s="228"/>
      <c r="B97" s="151">
        <v>2.65</v>
      </c>
      <c r="C97" s="151">
        <f>PRODUCT(A96:B97)</f>
        <v>-7.9499999999999993</v>
      </c>
      <c r="D97" s="149" t="s">
        <v>204</v>
      </c>
    </row>
    <row r="98" spans="1:4" ht="15.75" customHeight="1">
      <c r="A98" s="149"/>
      <c r="B98" s="149"/>
      <c r="C98" s="149"/>
      <c r="D98" s="149"/>
    </row>
    <row r="99" spans="1:4" ht="15.75" customHeight="1">
      <c r="A99" s="227">
        <v>-1</v>
      </c>
      <c r="B99" s="149">
        <v>3</v>
      </c>
      <c r="C99" s="149"/>
      <c r="D99" s="149"/>
    </row>
    <row r="100" spans="1:4" ht="15.75" customHeight="1">
      <c r="A100" s="228"/>
      <c r="B100" s="151">
        <v>2.65</v>
      </c>
      <c r="C100" s="151">
        <f>PRODUCT(A99:B100)</f>
        <v>-7.9499999999999993</v>
      </c>
      <c r="D100" s="149" t="s">
        <v>205</v>
      </c>
    </row>
    <row r="101" spans="1:4" ht="15.75" customHeight="1">
      <c r="A101" s="149"/>
      <c r="B101" s="149"/>
      <c r="C101" s="149"/>
      <c r="D101" s="149"/>
    </row>
    <row r="102" spans="1:4" ht="15.75" customHeight="1">
      <c r="A102" s="227">
        <v>-1</v>
      </c>
      <c r="B102" s="149">
        <v>1</v>
      </c>
      <c r="C102" s="149"/>
      <c r="D102" s="149"/>
    </row>
    <row r="103" spans="1:4" ht="15.75" customHeight="1">
      <c r="A103" s="228"/>
      <c r="B103" s="151">
        <v>2.1</v>
      </c>
      <c r="C103" s="151">
        <f>PRODUCT(A102:B103)</f>
        <v>-2.1</v>
      </c>
      <c r="D103" s="149" t="s">
        <v>301</v>
      </c>
    </row>
    <row r="104" spans="1:4" ht="15.75" customHeight="1">
      <c r="A104" s="149"/>
      <c r="B104" s="149"/>
      <c r="C104" s="149"/>
      <c r="D104" s="149"/>
    </row>
    <row r="105" spans="1:4" ht="15.75" customHeight="1">
      <c r="A105" s="227">
        <v>-2</v>
      </c>
      <c r="B105" s="149">
        <v>2</v>
      </c>
      <c r="C105" s="149"/>
      <c r="D105" s="149"/>
    </row>
    <row r="106" spans="1:4" ht="15.75" customHeight="1">
      <c r="A106" s="228"/>
      <c r="B106" s="151">
        <v>1.8</v>
      </c>
      <c r="C106" s="151">
        <f>PRODUCT(A105:B106)</f>
        <v>-7.2</v>
      </c>
      <c r="D106" s="149" t="s">
        <v>206</v>
      </c>
    </row>
    <row r="107" spans="1:4" ht="15.75" customHeight="1">
      <c r="A107" s="153"/>
      <c r="B107" s="149"/>
      <c r="C107" s="149"/>
      <c r="D107" s="149"/>
    </row>
    <row r="108" spans="1:4" ht="15.75" customHeight="1">
      <c r="A108" s="153">
        <v>-1</v>
      </c>
      <c r="B108" s="149">
        <v>1.8</v>
      </c>
      <c r="C108" s="149"/>
      <c r="D108" s="149"/>
    </row>
    <row r="109" spans="1:4" ht="15.75" customHeight="1">
      <c r="A109" s="151"/>
      <c r="B109" s="151">
        <v>2.65</v>
      </c>
      <c r="C109" s="151">
        <f>PRODUCT(A108:B109)</f>
        <v>-4.7699999999999996</v>
      </c>
      <c r="D109" s="149" t="s">
        <v>208</v>
      </c>
    </row>
    <row r="110" spans="1:4" ht="15.75" customHeight="1">
      <c r="A110" s="149"/>
      <c r="B110" s="149"/>
      <c r="C110" s="149"/>
      <c r="D110" s="149"/>
    </row>
    <row r="111" spans="1:4" ht="15.75" customHeight="1">
      <c r="A111" s="148">
        <v>-1</v>
      </c>
      <c r="B111" s="149">
        <v>3</v>
      </c>
      <c r="C111" s="149"/>
      <c r="D111" s="149"/>
    </row>
    <row r="112" spans="1:4" ht="15.75" customHeight="1">
      <c r="A112" s="151"/>
      <c r="B112" s="151">
        <v>2.65</v>
      </c>
      <c r="C112" s="151">
        <f>PRODUCT(A111:B112)</f>
        <v>-7.9499999999999993</v>
      </c>
      <c r="D112" s="149" t="s">
        <v>211</v>
      </c>
    </row>
    <row r="113" spans="1:4" ht="15.75" customHeight="1">
      <c r="A113" s="149"/>
      <c r="B113" s="149"/>
      <c r="C113" s="149"/>
      <c r="D113" s="149"/>
    </row>
    <row r="114" spans="1:4" ht="15.75" customHeight="1">
      <c r="A114" s="148">
        <v>-1</v>
      </c>
      <c r="B114" s="149">
        <v>0.8</v>
      </c>
      <c r="C114" s="149"/>
      <c r="D114" s="149"/>
    </row>
    <row r="115" spans="1:4" ht="15.75" customHeight="1">
      <c r="A115" s="151"/>
      <c r="B115" s="151">
        <v>2.1</v>
      </c>
      <c r="C115" s="151">
        <f>PRODUCT(A114:B115)</f>
        <v>-1.6800000000000002</v>
      </c>
      <c r="D115" s="149" t="s">
        <v>207</v>
      </c>
    </row>
    <row r="116" spans="1:4" ht="15.75" customHeight="1">
      <c r="A116" s="149"/>
      <c r="B116" s="149"/>
      <c r="C116" s="149"/>
      <c r="D116" s="149"/>
    </row>
    <row r="117" spans="1:4" ht="15.75" customHeight="1">
      <c r="A117" s="148">
        <v>-1</v>
      </c>
      <c r="B117" s="149">
        <v>0.8</v>
      </c>
      <c r="C117" s="149"/>
      <c r="D117" s="149"/>
    </row>
    <row r="118" spans="1:4" ht="15.75" customHeight="1">
      <c r="A118" s="151"/>
      <c r="B118" s="151">
        <v>2.1</v>
      </c>
      <c r="C118" s="151">
        <f>PRODUCT(A117:B118)</f>
        <v>-1.6800000000000002</v>
      </c>
      <c r="D118" s="149" t="s">
        <v>210</v>
      </c>
    </row>
    <row r="119" spans="1:4" ht="15.75" customHeight="1">
      <c r="A119" s="149"/>
      <c r="B119" s="149"/>
      <c r="C119" s="149"/>
      <c r="D119" s="149"/>
    </row>
    <row r="120" spans="1:4" ht="15.75" customHeight="1">
      <c r="A120" s="227">
        <v>-1</v>
      </c>
      <c r="B120" s="149">
        <v>3</v>
      </c>
      <c r="C120" s="149"/>
      <c r="D120" s="149"/>
    </row>
    <row r="121" spans="1:4" ht="15.75" customHeight="1">
      <c r="A121" s="228"/>
      <c r="B121" s="151">
        <v>2.65</v>
      </c>
      <c r="C121" s="151">
        <f>PRODUCT(A120:B121)</f>
        <v>-7.9499999999999993</v>
      </c>
      <c r="D121" s="149" t="s">
        <v>209</v>
      </c>
    </row>
    <row r="122" spans="1:4" ht="15.75" customHeight="1">
      <c r="A122" s="149"/>
      <c r="B122" s="149"/>
      <c r="C122" s="149"/>
      <c r="D122" s="149"/>
    </row>
    <row r="123" spans="1:4" ht="15.75" customHeight="1">
      <c r="A123" s="227">
        <v>-1</v>
      </c>
      <c r="B123" s="149">
        <v>0.9</v>
      </c>
      <c r="C123" s="149"/>
      <c r="D123" s="149"/>
    </row>
    <row r="124" spans="1:4" ht="15.75" customHeight="1">
      <c r="A124" s="228"/>
      <c r="B124" s="151">
        <v>2.1</v>
      </c>
      <c r="C124" s="151">
        <f>PRODUCT(A123:B124)</f>
        <v>-1.8900000000000001</v>
      </c>
      <c r="D124" s="149" t="s">
        <v>212</v>
      </c>
    </row>
    <row r="125" spans="1:4" ht="15.75" customHeight="1">
      <c r="A125" s="149"/>
      <c r="B125" s="149"/>
      <c r="C125" s="149"/>
      <c r="D125" s="149"/>
    </row>
    <row r="126" spans="1:4" ht="15.75" customHeight="1">
      <c r="A126" s="227">
        <v>-1</v>
      </c>
      <c r="B126" s="149">
        <v>0.9</v>
      </c>
      <c r="C126" s="149"/>
      <c r="D126" s="149"/>
    </row>
    <row r="127" spans="1:4" ht="15.75" customHeight="1">
      <c r="A127" s="228"/>
      <c r="B127" s="151">
        <v>2.1</v>
      </c>
      <c r="C127" s="151">
        <f>PRODUCT(A126:B127)</f>
        <v>-1.8900000000000001</v>
      </c>
      <c r="D127" s="149" t="s">
        <v>213</v>
      </c>
    </row>
    <row r="128" spans="1:4" ht="15.75" customHeight="1">
      <c r="A128" s="153"/>
      <c r="B128" s="149"/>
      <c r="C128" s="149"/>
      <c r="D128" s="149"/>
    </row>
    <row r="129" spans="1:4" ht="15.75" customHeight="1">
      <c r="A129" s="153">
        <v>-1</v>
      </c>
      <c r="B129" s="149">
        <v>1.8</v>
      </c>
      <c r="C129" s="149"/>
      <c r="D129" s="149"/>
    </row>
    <row r="130" spans="1:4" ht="15.75" customHeight="1">
      <c r="A130" s="151"/>
      <c r="B130" s="151">
        <v>2.65</v>
      </c>
      <c r="C130" s="151">
        <f>PRODUCT(A129:B130)</f>
        <v>-4.7699999999999996</v>
      </c>
      <c r="D130" s="149" t="s">
        <v>214</v>
      </c>
    </row>
    <row r="131" spans="1:4" ht="15.75" customHeight="1">
      <c r="A131" s="149"/>
      <c r="B131" s="149"/>
      <c r="C131" s="149"/>
      <c r="D131" s="149"/>
    </row>
    <row r="132" spans="1:4" ht="15.75" customHeight="1">
      <c r="A132" s="148">
        <v>-1</v>
      </c>
      <c r="B132" s="149">
        <v>2.8</v>
      </c>
      <c r="C132" s="149"/>
      <c r="D132" s="149"/>
    </row>
    <row r="133" spans="1:4" ht="15.75" customHeight="1">
      <c r="A133" s="151"/>
      <c r="B133" s="151">
        <v>2.65</v>
      </c>
      <c r="C133" s="151">
        <f>PRODUCT(A132:B133)</f>
        <v>-7.419999999999999</v>
      </c>
      <c r="D133" s="149" t="s">
        <v>215</v>
      </c>
    </row>
    <row r="134" spans="1:4" ht="15.75" customHeight="1">
      <c r="A134" s="149"/>
      <c r="B134" s="149"/>
      <c r="C134" s="149"/>
      <c r="D134" s="149"/>
    </row>
    <row r="135" spans="1:4" ht="15.75" customHeight="1">
      <c r="A135" s="148">
        <v>-1</v>
      </c>
      <c r="B135" s="149">
        <v>0.9</v>
      </c>
      <c r="C135" s="149"/>
      <c r="D135" s="149"/>
    </row>
    <row r="136" spans="1:4" ht="15.75" customHeight="1">
      <c r="A136" s="151"/>
      <c r="B136" s="151">
        <v>2.1</v>
      </c>
      <c r="C136" s="151">
        <f>PRODUCT(A135:B136)</f>
        <v>-1.8900000000000001</v>
      </c>
      <c r="D136" s="149" t="s">
        <v>302</v>
      </c>
    </row>
    <row r="137" spans="1:4" ht="15.75" customHeight="1">
      <c r="A137" s="149"/>
      <c r="B137" s="149"/>
      <c r="C137" s="149"/>
      <c r="D137" s="149"/>
    </row>
    <row r="138" spans="1:4" ht="15.75" customHeight="1">
      <c r="A138" s="227">
        <v>-1</v>
      </c>
      <c r="B138" s="149">
        <v>1.5</v>
      </c>
      <c r="C138" s="149"/>
      <c r="D138" s="149"/>
    </row>
    <row r="139" spans="1:4" ht="15.75" customHeight="1">
      <c r="A139" s="228"/>
      <c r="B139" s="151">
        <v>2.1</v>
      </c>
      <c r="C139" s="151">
        <f>PRODUCT(A138:B139)</f>
        <v>-3.1500000000000004</v>
      </c>
      <c r="D139" s="149" t="s">
        <v>216</v>
      </c>
    </row>
    <row r="140" spans="1:4" ht="15.75" customHeight="1">
      <c r="A140" s="149"/>
      <c r="B140" s="149"/>
      <c r="C140" s="149"/>
      <c r="D140" s="149"/>
    </row>
    <row r="141" spans="1:4" ht="15.75" customHeight="1">
      <c r="A141" s="227">
        <v>-1</v>
      </c>
      <c r="B141" s="149">
        <v>0.9</v>
      </c>
      <c r="C141" s="149"/>
      <c r="D141" s="149"/>
    </row>
    <row r="142" spans="1:4" ht="15.75" customHeight="1">
      <c r="A142" s="228"/>
      <c r="B142" s="151">
        <v>2.1</v>
      </c>
      <c r="C142" s="151">
        <f>PRODUCT(A141:B142)</f>
        <v>-1.8900000000000001</v>
      </c>
      <c r="D142" s="149" t="s">
        <v>217</v>
      </c>
    </row>
    <row r="143" spans="1:4" ht="15.75" customHeight="1">
      <c r="A143" s="149"/>
      <c r="B143" s="149"/>
      <c r="C143" s="149"/>
      <c r="D143" s="149"/>
    </row>
    <row r="144" spans="1:4" ht="15.75" customHeight="1">
      <c r="A144" s="227">
        <v>-1</v>
      </c>
      <c r="B144" s="149">
        <v>0.9</v>
      </c>
      <c r="C144" s="149"/>
      <c r="D144" s="149"/>
    </row>
    <row r="145" spans="1:4" ht="15.75" customHeight="1">
      <c r="A145" s="228"/>
      <c r="B145" s="151">
        <v>2.1</v>
      </c>
      <c r="C145" s="151">
        <f>PRODUCT(A144:B145)</f>
        <v>-1.8900000000000001</v>
      </c>
      <c r="D145" s="149" t="s">
        <v>218</v>
      </c>
    </row>
    <row r="146" spans="1:4" ht="15.75" customHeight="1">
      <c r="A146" s="153"/>
      <c r="B146" s="149"/>
      <c r="C146" s="149"/>
      <c r="D146" s="149"/>
    </row>
    <row r="147" spans="1:4" ht="15.75" customHeight="1">
      <c r="A147" s="153">
        <v>-1</v>
      </c>
      <c r="B147" s="149">
        <v>3</v>
      </c>
      <c r="C147" s="149"/>
      <c r="D147" s="149"/>
    </row>
    <row r="148" spans="1:4" ht="15.75" customHeight="1">
      <c r="A148" s="151"/>
      <c r="B148" s="151">
        <v>2.65</v>
      </c>
      <c r="C148" s="151">
        <f>PRODUCT(A147:B148)</f>
        <v>-7.9499999999999993</v>
      </c>
      <c r="D148" s="149" t="s">
        <v>181</v>
      </c>
    </row>
    <row r="149" spans="1:4" ht="15.75" customHeight="1">
      <c r="A149" s="149"/>
      <c r="B149" s="149"/>
      <c r="C149" s="149"/>
      <c r="D149" s="149"/>
    </row>
    <row r="150" spans="1:4" ht="15.75" customHeight="1">
      <c r="A150" s="148">
        <v>-1</v>
      </c>
      <c r="B150" s="149">
        <v>3</v>
      </c>
      <c r="C150" s="149"/>
      <c r="D150" s="149"/>
    </row>
    <row r="151" spans="1:4" ht="15.75" customHeight="1">
      <c r="A151" s="151"/>
      <c r="B151" s="151">
        <v>2.65</v>
      </c>
      <c r="C151" s="151">
        <f>PRODUCT(A150:B151)</f>
        <v>-7.9499999999999993</v>
      </c>
      <c r="D151" s="149" t="s">
        <v>219</v>
      </c>
    </row>
    <row r="152" spans="1:4" ht="15.75" customHeight="1">
      <c r="A152" s="149"/>
      <c r="B152" s="149"/>
      <c r="C152" s="149"/>
      <c r="D152" s="149"/>
    </row>
    <row r="153" spans="1:4" ht="15.75" customHeight="1">
      <c r="A153" s="148">
        <v>-2</v>
      </c>
      <c r="B153" s="149">
        <v>2</v>
      </c>
      <c r="C153" s="149"/>
      <c r="D153" s="149"/>
    </row>
    <row r="154" spans="1:4" ht="15.75" customHeight="1">
      <c r="A154" s="151"/>
      <c r="B154" s="151">
        <v>1.8</v>
      </c>
      <c r="C154" s="151">
        <f>PRODUCT(A153:B154)</f>
        <v>-7.2</v>
      </c>
      <c r="D154" s="149" t="s">
        <v>220</v>
      </c>
    </row>
    <row r="155" spans="1:4" ht="15.75" customHeight="1">
      <c r="A155" s="149"/>
      <c r="B155" s="149"/>
      <c r="C155" s="149"/>
      <c r="D155" s="149"/>
    </row>
    <row r="156" spans="1:4" ht="15.75" customHeight="1">
      <c r="A156" s="227">
        <v>-2</v>
      </c>
      <c r="B156" s="149">
        <v>1.8</v>
      </c>
      <c r="C156" s="149"/>
      <c r="D156" s="149"/>
    </row>
    <row r="157" spans="1:4" ht="15.75" customHeight="1">
      <c r="A157" s="228"/>
      <c r="B157" s="151">
        <v>2.65</v>
      </c>
      <c r="C157" s="151">
        <f>PRODUCT(A156:B157)</f>
        <v>-9.5399999999999991</v>
      </c>
      <c r="D157" s="149" t="s">
        <v>214</v>
      </c>
    </row>
    <row r="158" spans="1:4" ht="15.75" customHeight="1">
      <c r="A158" s="149"/>
      <c r="B158" s="149"/>
      <c r="C158" s="149"/>
      <c r="D158" s="149"/>
    </row>
    <row r="159" spans="1:4" ht="15.75" customHeight="1">
      <c r="A159" s="227">
        <v>-2</v>
      </c>
      <c r="B159" s="149">
        <v>0.9</v>
      </c>
      <c r="C159" s="149"/>
      <c r="D159" s="149"/>
    </row>
    <row r="160" spans="1:4" ht="15.75" customHeight="1">
      <c r="A160" s="228"/>
      <c r="B160" s="151">
        <v>2.1</v>
      </c>
      <c r="C160" s="151">
        <f>PRODUCT(A159:B160)</f>
        <v>-3.7800000000000002</v>
      </c>
      <c r="D160" s="149" t="s">
        <v>303</v>
      </c>
    </row>
    <row r="161" spans="1:4" ht="15.75" customHeight="1">
      <c r="A161" s="149"/>
      <c r="B161" s="149"/>
      <c r="C161" s="149"/>
      <c r="D161" s="149"/>
    </row>
    <row r="162" spans="1:4" ht="15.75" customHeight="1">
      <c r="A162" s="227">
        <v>-1</v>
      </c>
      <c r="B162" s="149">
        <v>3</v>
      </c>
      <c r="C162" s="149"/>
      <c r="D162" s="149"/>
    </row>
    <row r="163" spans="1:4" ht="15.75" customHeight="1">
      <c r="A163" s="228"/>
      <c r="B163" s="151">
        <v>2.65</v>
      </c>
      <c r="C163" s="151">
        <f>PRODUCT(A162:B163)</f>
        <v>-7.9499999999999993</v>
      </c>
      <c r="D163" s="149" t="s">
        <v>221</v>
      </c>
    </row>
    <row r="164" spans="1:4" ht="15.75" customHeight="1">
      <c r="A164" s="149"/>
      <c r="B164" s="149"/>
      <c r="C164" s="149"/>
      <c r="D164" s="149"/>
    </row>
    <row r="165" spans="1:4" ht="15.75" customHeight="1">
      <c r="A165" s="227">
        <v>-1</v>
      </c>
      <c r="B165" s="149">
        <v>3</v>
      </c>
      <c r="C165" s="149"/>
      <c r="D165" s="149"/>
    </row>
    <row r="166" spans="1:4" ht="15.75" customHeight="1">
      <c r="A166" s="228"/>
      <c r="B166" s="151">
        <v>2.65</v>
      </c>
      <c r="C166" s="151">
        <f>PRODUCT(A165:B166)</f>
        <v>-7.9499999999999993</v>
      </c>
      <c r="D166" s="149" t="s">
        <v>222</v>
      </c>
    </row>
    <row r="167" spans="1:4" ht="15.75" customHeight="1" thickBot="1">
      <c r="A167" s="153"/>
      <c r="B167" s="149"/>
      <c r="C167" s="157">
        <f>SUM(C89:C166)</f>
        <v>611.65999999999985</v>
      </c>
      <c r="D167" s="149" t="s">
        <v>139</v>
      </c>
    </row>
    <row r="168" spans="1:4" ht="15.75" customHeight="1" thickTop="1">
      <c r="A168" s="149"/>
      <c r="B168" s="149"/>
      <c r="C168" s="149"/>
      <c r="D168" s="155" t="s">
        <v>231</v>
      </c>
    </row>
    <row r="169" spans="1:4" ht="15.75" customHeight="1">
      <c r="A169" s="149"/>
      <c r="B169" s="149"/>
      <c r="C169" s="149"/>
      <c r="D169" s="149"/>
    </row>
    <row r="170" spans="1:4" ht="15.75" customHeight="1">
      <c r="A170" s="148">
        <v>2</v>
      </c>
      <c r="B170" s="149">
        <v>18.5</v>
      </c>
      <c r="C170" s="149"/>
      <c r="D170" s="149"/>
    </row>
    <row r="171" spans="1:4" ht="15.75" customHeight="1">
      <c r="A171" s="151"/>
      <c r="B171" s="151">
        <v>5</v>
      </c>
      <c r="C171" s="151">
        <f>PRODUCT(A170:B171)</f>
        <v>185</v>
      </c>
      <c r="D171" s="149" t="s">
        <v>179</v>
      </c>
    </row>
    <row r="172" spans="1:4" ht="15.75" customHeight="1">
      <c r="A172" s="149"/>
      <c r="B172" s="149"/>
      <c r="C172" s="149"/>
      <c r="D172" s="149"/>
    </row>
    <row r="173" spans="1:4" ht="15.75" customHeight="1">
      <c r="A173" s="227">
        <v>2</v>
      </c>
      <c r="B173" s="149">
        <v>3</v>
      </c>
      <c r="C173" s="149"/>
      <c r="D173" s="149"/>
    </row>
    <row r="174" spans="1:4" ht="15.75" customHeight="1">
      <c r="A174" s="228"/>
      <c r="B174" s="151">
        <v>3</v>
      </c>
      <c r="C174" s="151">
        <f>PRODUCT(A173:B174)</f>
        <v>18</v>
      </c>
      <c r="D174" s="149" t="s">
        <v>180</v>
      </c>
    </row>
    <row r="175" spans="1:4" ht="15.75" customHeight="1">
      <c r="A175" s="149"/>
      <c r="B175" s="149"/>
      <c r="C175" s="149"/>
      <c r="D175" s="149"/>
    </row>
    <row r="176" spans="1:4" ht="15.75" customHeight="1">
      <c r="A176" s="227">
        <v>-6</v>
      </c>
      <c r="B176" s="149">
        <v>1.2</v>
      </c>
      <c r="C176" s="149"/>
      <c r="D176" s="149"/>
    </row>
    <row r="177" spans="1:4" ht="15.75" customHeight="1">
      <c r="A177" s="228"/>
      <c r="B177" s="151">
        <v>2.1</v>
      </c>
      <c r="C177" s="151">
        <f>PRODUCT(A176:B177)</f>
        <v>-15.12</v>
      </c>
      <c r="D177" s="149"/>
    </row>
    <row r="178" spans="1:4" ht="15.75" customHeight="1">
      <c r="A178" s="149"/>
      <c r="B178" s="149"/>
      <c r="C178" s="149"/>
      <c r="D178" s="149"/>
    </row>
    <row r="179" spans="1:4" ht="15.75" customHeight="1">
      <c r="A179" s="227">
        <v>-3</v>
      </c>
      <c r="B179" s="149">
        <v>0.75</v>
      </c>
      <c r="C179" s="149"/>
      <c r="D179" s="149"/>
    </row>
    <row r="180" spans="1:4" ht="15.75" customHeight="1">
      <c r="A180" s="228"/>
      <c r="B180" s="151">
        <v>2.1</v>
      </c>
      <c r="C180" s="151">
        <f>PRODUCT(A179:B180)</f>
        <v>-4.7250000000000005</v>
      </c>
      <c r="D180" s="149"/>
    </row>
    <row r="181" spans="1:4" ht="15.75" customHeight="1">
      <c r="A181" s="149"/>
      <c r="B181" s="149"/>
      <c r="C181" s="149"/>
      <c r="D181" s="149"/>
    </row>
    <row r="182" spans="1:4" ht="15.75" customHeight="1">
      <c r="A182" s="227">
        <v>-2</v>
      </c>
      <c r="B182" s="149">
        <v>0.65</v>
      </c>
      <c r="C182" s="149"/>
      <c r="D182" s="149"/>
    </row>
    <row r="183" spans="1:4" ht="15.75" customHeight="1">
      <c r="A183" s="228"/>
      <c r="B183" s="151">
        <v>2.1</v>
      </c>
      <c r="C183" s="151">
        <f>PRODUCT(A182:B183)</f>
        <v>-2.7300000000000004</v>
      </c>
      <c r="D183" s="149"/>
    </row>
    <row r="184" spans="1:4" ht="15.75" customHeight="1" thickBot="1">
      <c r="A184" s="153"/>
      <c r="B184" s="149"/>
      <c r="C184" s="157">
        <f>SUM(C169:C183)</f>
        <v>180.42500000000001</v>
      </c>
      <c r="D184" s="149" t="s">
        <v>139</v>
      </c>
    </row>
    <row r="185" spans="1:4" ht="15.75" customHeight="1" thickTop="1">
      <c r="A185" s="153"/>
      <c r="B185" s="149"/>
      <c r="C185" s="149"/>
      <c r="D185" s="149"/>
    </row>
    <row r="186" spans="1:4" ht="15.75" customHeight="1">
      <c r="A186" s="149"/>
      <c r="B186" s="149"/>
      <c r="C186" s="149"/>
      <c r="D186" s="189" t="s">
        <v>158</v>
      </c>
    </row>
    <row r="187" spans="1:4" ht="15.75" customHeight="1">
      <c r="A187" s="149"/>
      <c r="B187" s="149"/>
      <c r="C187" s="149"/>
      <c r="D187" s="155" t="s">
        <v>164</v>
      </c>
    </row>
    <row r="188" spans="1:4" ht="15.75" customHeight="1">
      <c r="A188" s="149"/>
      <c r="B188" s="149"/>
      <c r="C188" s="149"/>
      <c r="D188" s="149"/>
    </row>
    <row r="189" spans="1:4" ht="15.75" customHeight="1">
      <c r="A189" s="148">
        <v>1.3</v>
      </c>
      <c r="B189" s="149">
        <v>7</v>
      </c>
      <c r="C189" s="149"/>
      <c r="D189" s="149"/>
    </row>
    <row r="190" spans="1:4" ht="15.75" customHeight="1">
      <c r="A190" s="151"/>
      <c r="B190" s="151">
        <v>6.7</v>
      </c>
      <c r="C190" s="151">
        <f>PRODUCT(A189:B190)</f>
        <v>60.97</v>
      </c>
      <c r="D190" s="149"/>
    </row>
    <row r="191" spans="1:4" ht="15.75" customHeight="1">
      <c r="A191" s="149"/>
      <c r="B191" s="149"/>
      <c r="C191" s="149"/>
      <c r="D191" s="149"/>
    </row>
    <row r="192" spans="1:4" ht="15.75" customHeight="1">
      <c r="A192" s="227">
        <v>1</v>
      </c>
      <c r="B192" s="149">
        <v>3</v>
      </c>
      <c r="C192" s="149"/>
      <c r="D192" s="149"/>
    </row>
    <row r="193" spans="1:4" ht="15.75" customHeight="1">
      <c r="A193" s="228"/>
      <c r="B193" s="151">
        <v>7</v>
      </c>
      <c r="C193" s="151">
        <f>PRODUCT(A192:B193)</f>
        <v>21</v>
      </c>
      <c r="D193" s="149"/>
    </row>
    <row r="194" spans="1:4" ht="15.75" customHeight="1">
      <c r="A194" s="149"/>
      <c r="B194" s="149"/>
      <c r="C194" s="149"/>
      <c r="D194" s="149"/>
    </row>
    <row r="195" spans="1:4" ht="15.75" customHeight="1">
      <c r="A195" s="227">
        <v>2</v>
      </c>
      <c r="B195" s="149">
        <v>3</v>
      </c>
      <c r="C195" s="149"/>
      <c r="D195" s="149"/>
    </row>
    <row r="196" spans="1:4" ht="15.75" customHeight="1">
      <c r="A196" s="228"/>
      <c r="B196" s="151">
        <v>10</v>
      </c>
      <c r="C196" s="151">
        <f>PRODUCT(A195:B196)</f>
        <v>60</v>
      </c>
      <c r="D196" s="149"/>
    </row>
    <row r="197" spans="1:4" ht="15.75" customHeight="1">
      <c r="A197" s="149"/>
      <c r="B197" s="149"/>
      <c r="C197" s="149"/>
      <c r="D197" s="149"/>
    </row>
    <row r="198" spans="1:4" ht="15.75" customHeight="1">
      <c r="A198" s="227">
        <v>10</v>
      </c>
      <c r="B198" s="149">
        <v>1</v>
      </c>
      <c r="C198" s="149"/>
      <c r="D198" s="149"/>
    </row>
    <row r="199" spans="1:4" ht="15.75" customHeight="1">
      <c r="A199" s="228"/>
      <c r="B199" s="151">
        <v>1</v>
      </c>
      <c r="C199" s="151">
        <f>PRODUCT(A198:B199)</f>
        <v>10</v>
      </c>
      <c r="D199" s="149"/>
    </row>
    <row r="200" spans="1:4" ht="15.75" customHeight="1" thickBot="1">
      <c r="A200" s="153"/>
      <c r="B200" s="149"/>
      <c r="C200" s="157">
        <f>SUM(C188:C199)</f>
        <v>151.97</v>
      </c>
      <c r="D200" s="149" t="s">
        <v>139</v>
      </c>
    </row>
    <row r="201" spans="1:4" ht="15.75" customHeight="1" thickTop="1">
      <c r="A201" s="149"/>
      <c r="B201" s="149"/>
      <c r="C201" s="149"/>
      <c r="D201" s="155" t="s">
        <v>152</v>
      </c>
    </row>
    <row r="202" spans="1:4" ht="15.75" customHeight="1">
      <c r="A202" s="149"/>
      <c r="B202" s="149"/>
      <c r="C202" s="149"/>
      <c r="D202" s="149"/>
    </row>
    <row r="203" spans="1:4" ht="15.75" customHeight="1">
      <c r="A203" s="148">
        <v>1</v>
      </c>
      <c r="B203" s="149">
        <v>42</v>
      </c>
      <c r="C203" s="149"/>
      <c r="D203" s="149"/>
    </row>
    <row r="204" spans="1:4" ht="15.75" customHeight="1">
      <c r="A204" s="151"/>
      <c r="B204" s="151">
        <v>3</v>
      </c>
      <c r="C204" s="151">
        <f>PRODUCT(A203:B204)</f>
        <v>126</v>
      </c>
      <c r="D204" s="149"/>
    </row>
    <row r="205" spans="1:4" ht="15.75" customHeight="1" thickBot="1">
      <c r="A205" s="153"/>
      <c r="B205" s="149"/>
      <c r="C205" s="157">
        <f>SUM(C202:C204)</f>
        <v>126</v>
      </c>
      <c r="D205" s="149" t="s">
        <v>139</v>
      </c>
    </row>
    <row r="206" spans="1:4" ht="15.75" customHeight="1" thickTop="1">
      <c r="A206" s="153"/>
      <c r="B206" s="149"/>
      <c r="C206" s="158"/>
      <c r="D206" s="149"/>
    </row>
    <row r="207" spans="1:4" ht="15.75" customHeight="1">
      <c r="A207" s="149"/>
      <c r="B207" s="149"/>
      <c r="C207" s="149"/>
      <c r="D207" s="155" t="s">
        <v>153</v>
      </c>
    </row>
    <row r="208" spans="1:4" ht="15.75" customHeight="1">
      <c r="A208" s="149"/>
      <c r="B208" s="149"/>
      <c r="C208" s="149"/>
      <c r="D208" s="149"/>
    </row>
    <row r="209" spans="1:4" ht="15.75" customHeight="1">
      <c r="A209" s="148">
        <v>1</v>
      </c>
      <c r="B209" s="149">
        <v>72</v>
      </c>
      <c r="C209" s="149"/>
      <c r="D209" s="149"/>
    </row>
    <row r="210" spans="1:4" ht="15.75" customHeight="1">
      <c r="A210" s="151"/>
      <c r="B210" s="151">
        <v>3</v>
      </c>
      <c r="C210" s="151">
        <f>PRODUCT(A209:B210)</f>
        <v>216</v>
      </c>
      <c r="D210" s="149"/>
    </row>
    <row r="211" spans="1:4" ht="15.75" customHeight="1" thickBot="1">
      <c r="A211" s="153"/>
      <c r="B211" s="149"/>
      <c r="C211" s="157">
        <f>SUM(C208:C210)</f>
        <v>216</v>
      </c>
      <c r="D211" s="149" t="s">
        <v>139</v>
      </c>
    </row>
    <row r="212" spans="1:4" ht="15.75" customHeight="1" thickTop="1">
      <c r="A212" s="153"/>
      <c r="B212" s="149"/>
      <c r="C212" s="158"/>
      <c r="D212" s="149"/>
    </row>
    <row r="213" spans="1:4" ht="15.75" customHeight="1">
      <c r="A213" s="149"/>
      <c r="B213" s="149"/>
      <c r="C213" s="149"/>
      <c r="D213" s="155" t="s">
        <v>231</v>
      </c>
    </row>
    <row r="214" spans="1:4" ht="15.75" customHeight="1">
      <c r="A214" s="149"/>
      <c r="B214" s="149"/>
      <c r="C214" s="149"/>
      <c r="D214" s="149"/>
    </row>
    <row r="215" spans="1:4" ht="15.75" customHeight="1">
      <c r="A215" s="148">
        <v>1</v>
      </c>
      <c r="B215" s="149">
        <v>18.5</v>
      </c>
      <c r="C215" s="149"/>
      <c r="D215" s="149"/>
    </row>
    <row r="216" spans="1:4" ht="15.75" customHeight="1">
      <c r="A216" s="151"/>
      <c r="B216" s="151">
        <v>3</v>
      </c>
      <c r="C216" s="151">
        <f>PRODUCT(A215:B216)</f>
        <v>55.5</v>
      </c>
      <c r="D216" s="149"/>
    </row>
    <row r="217" spans="1:4" ht="15.75" customHeight="1" thickBot="1">
      <c r="A217" s="153"/>
      <c r="B217" s="149"/>
      <c r="C217" s="157">
        <f>SUM(C214:C216)</f>
        <v>55.5</v>
      </c>
      <c r="D217" s="149" t="s">
        <v>139</v>
      </c>
    </row>
    <row r="218" spans="1:4" ht="15.75" customHeight="1" thickTop="1">
      <c r="A218" s="149"/>
      <c r="B218" s="149"/>
      <c r="C218" s="149"/>
      <c r="D218" s="149"/>
    </row>
    <row r="219" spans="1:4" ht="15.75" customHeight="1">
      <c r="A219" s="156"/>
      <c r="B219" s="151"/>
      <c r="C219" s="151"/>
      <c r="D219" s="149"/>
    </row>
    <row r="220" spans="1:4" ht="15.75" customHeight="1">
      <c r="A220" s="149"/>
      <c r="B220" s="149"/>
      <c r="C220" s="149"/>
      <c r="D220" s="189" t="s">
        <v>159</v>
      </c>
    </row>
    <row r="221" spans="1:4" ht="15.75" customHeight="1">
      <c r="A221" s="149"/>
      <c r="B221" s="149"/>
      <c r="C221" s="149"/>
      <c r="D221" s="149"/>
    </row>
    <row r="222" spans="1:4" ht="15.75" customHeight="1">
      <c r="A222" s="148">
        <v>1</v>
      </c>
      <c r="B222" s="149">
        <v>5</v>
      </c>
      <c r="C222" s="149"/>
      <c r="D222" s="149" t="s">
        <v>161</v>
      </c>
    </row>
    <row r="223" spans="1:4" ht="15.75" customHeight="1">
      <c r="A223" s="151"/>
      <c r="B223" s="151">
        <v>2.6</v>
      </c>
      <c r="C223" s="151">
        <v>0</v>
      </c>
      <c r="D223" s="149"/>
    </row>
    <row r="224" spans="1:4" ht="15.75" customHeight="1">
      <c r="A224" s="149"/>
      <c r="B224" s="149"/>
      <c r="C224" s="149"/>
      <c r="D224" s="149"/>
    </row>
    <row r="225" spans="1:4" ht="15.75" customHeight="1">
      <c r="A225" s="227">
        <v>2</v>
      </c>
      <c r="B225" s="149">
        <v>1</v>
      </c>
      <c r="C225" s="149"/>
      <c r="D225" s="149"/>
    </row>
    <row r="226" spans="1:4" ht="15.75" customHeight="1">
      <c r="A226" s="228"/>
      <c r="B226" s="151">
        <v>2.2000000000000002</v>
      </c>
      <c r="C226" s="151">
        <v>0</v>
      </c>
      <c r="D226" s="149" t="s">
        <v>160</v>
      </c>
    </row>
    <row r="227" spans="1:4" ht="15.75" customHeight="1" thickBot="1">
      <c r="A227" s="153"/>
      <c r="B227" s="149"/>
      <c r="C227" s="157">
        <f>SUM(C221:C226)</f>
        <v>0</v>
      </c>
      <c r="D227" s="149" t="s">
        <v>139</v>
      </c>
    </row>
    <row r="228" spans="1:4" ht="15.75" customHeight="1" thickTop="1">
      <c r="A228" s="149"/>
      <c r="B228" s="149"/>
      <c r="C228" s="149"/>
      <c r="D228" s="149"/>
    </row>
    <row r="229" spans="1:4" ht="15.75" customHeight="1">
      <c r="A229" s="149"/>
      <c r="B229" s="149"/>
      <c r="C229" s="149"/>
      <c r="D229" s="189" t="s">
        <v>163</v>
      </c>
    </row>
    <row r="230" spans="1:4" ht="15.75" customHeight="1">
      <c r="A230" s="149"/>
      <c r="B230" s="149"/>
      <c r="C230" s="149"/>
      <c r="D230" s="155" t="s">
        <v>164</v>
      </c>
    </row>
    <row r="231" spans="1:4" ht="15.75" customHeight="1">
      <c r="A231" s="149"/>
      <c r="B231" s="149"/>
      <c r="C231" s="149"/>
      <c r="D231" s="149"/>
    </row>
    <row r="232" spans="1:4" ht="15.75" customHeight="1">
      <c r="A232" s="148">
        <v>1</v>
      </c>
      <c r="B232" s="149">
        <v>10</v>
      </c>
      <c r="C232" s="149"/>
      <c r="D232" s="149"/>
    </row>
    <row r="233" spans="1:4" ht="15.75" customHeight="1">
      <c r="A233" s="151"/>
      <c r="B233" s="151">
        <v>6</v>
      </c>
      <c r="C233" s="151">
        <f>PRODUCT(A232:B233)</f>
        <v>60</v>
      </c>
      <c r="D233" s="149" t="s">
        <v>166</v>
      </c>
    </row>
    <row r="234" spans="1:4" ht="15.75" customHeight="1">
      <c r="A234" s="149"/>
      <c r="B234" s="149"/>
      <c r="C234" s="149"/>
      <c r="D234" s="149"/>
    </row>
    <row r="235" spans="1:4" ht="15.75" customHeight="1">
      <c r="A235" s="227">
        <v>3</v>
      </c>
      <c r="B235" s="149">
        <v>2</v>
      </c>
      <c r="C235" s="149"/>
      <c r="D235" s="149"/>
    </row>
    <row r="236" spans="1:4" ht="15.75" customHeight="1">
      <c r="A236" s="228"/>
      <c r="B236" s="151">
        <v>7</v>
      </c>
      <c r="C236" s="151">
        <f>PRODUCT(A235:B236)</f>
        <v>42</v>
      </c>
      <c r="D236" s="149" t="s">
        <v>165</v>
      </c>
    </row>
    <row r="237" spans="1:4" ht="15.75" customHeight="1">
      <c r="A237" s="149"/>
      <c r="B237" s="149"/>
      <c r="C237" s="149"/>
      <c r="D237" s="149"/>
    </row>
    <row r="238" spans="1:4" ht="15.75" customHeight="1">
      <c r="A238" s="227">
        <v>8</v>
      </c>
      <c r="B238" s="149">
        <v>1</v>
      </c>
      <c r="C238" s="149"/>
      <c r="D238" s="149"/>
    </row>
    <row r="239" spans="1:4" ht="15.75" customHeight="1">
      <c r="A239" s="228"/>
      <c r="B239" s="151">
        <v>5</v>
      </c>
      <c r="C239" s="151">
        <f>PRODUCT(A238:B239)</f>
        <v>40</v>
      </c>
      <c r="D239" s="149" t="s">
        <v>167</v>
      </c>
    </row>
    <row r="240" spans="1:4" ht="15.75" customHeight="1">
      <c r="A240" s="149"/>
      <c r="B240" s="149"/>
      <c r="C240" s="149"/>
      <c r="D240" s="149"/>
    </row>
    <row r="241" spans="1:4" ht="15.75" customHeight="1">
      <c r="A241" s="227">
        <v>1</v>
      </c>
      <c r="B241" s="149">
        <v>7</v>
      </c>
      <c r="C241" s="149"/>
      <c r="D241" s="149"/>
    </row>
    <row r="242" spans="1:4" ht="15.75" customHeight="1">
      <c r="A242" s="228"/>
      <c r="B242" s="151">
        <v>6</v>
      </c>
      <c r="C242" s="151">
        <f>PRODUCT(A241:B242)</f>
        <v>42</v>
      </c>
      <c r="D242" s="149" t="s">
        <v>168</v>
      </c>
    </row>
    <row r="243" spans="1:4" ht="15.75" customHeight="1" thickBot="1">
      <c r="A243" s="153"/>
      <c r="B243" s="149"/>
      <c r="C243" s="157">
        <f>SUM(C231:C242)</f>
        <v>184</v>
      </c>
      <c r="D243" s="149" t="s">
        <v>139</v>
      </c>
    </row>
    <row r="244" spans="1:4" ht="15.75" customHeight="1" thickTop="1" thickBot="1">
      <c r="A244" s="153"/>
      <c r="B244" s="149"/>
      <c r="C244" s="149"/>
      <c r="D244" s="149"/>
    </row>
    <row r="245" spans="1:4" ht="15.75" customHeight="1" thickTop="1">
      <c r="A245" s="149"/>
      <c r="B245" s="149"/>
      <c r="C245" s="159"/>
      <c r="D245" s="149"/>
    </row>
    <row r="246" spans="1:4" ht="15.75" customHeight="1">
      <c r="A246" s="149"/>
      <c r="B246" s="149"/>
      <c r="C246" s="149"/>
      <c r="D246" s="150" t="s">
        <v>142</v>
      </c>
    </row>
    <row r="247" spans="1:4" ht="15.75" customHeight="1">
      <c r="A247" s="149"/>
      <c r="B247" s="149"/>
      <c r="C247" s="149"/>
      <c r="D247" s="160" t="s">
        <v>143</v>
      </c>
    </row>
    <row r="248" spans="1:4" ht="15.75" customHeight="1">
      <c r="A248" s="149"/>
      <c r="B248" s="149"/>
      <c r="C248" s="149"/>
      <c r="D248" s="149" t="s">
        <v>157</v>
      </c>
    </row>
    <row r="249" spans="1:4" ht="15.75" customHeight="1">
      <c r="A249" s="149"/>
      <c r="B249" s="149"/>
      <c r="C249" s="149">
        <v>7</v>
      </c>
      <c r="D249" s="149"/>
    </row>
    <row r="250" spans="1:4" ht="15.75" customHeight="1">
      <c r="A250" s="149"/>
      <c r="B250" s="149"/>
      <c r="C250" s="149">
        <v>6.7</v>
      </c>
      <c r="D250" s="149"/>
    </row>
    <row r="251" spans="1:4" ht="15.75" customHeight="1">
      <c r="A251" s="149"/>
      <c r="B251" s="151"/>
      <c r="C251" s="151"/>
      <c r="D251" s="149"/>
    </row>
    <row r="252" spans="1:4" ht="15.75" customHeight="1" thickBot="1">
      <c r="A252" s="149"/>
      <c r="B252" s="149"/>
      <c r="C252" s="152">
        <f>C249*C250</f>
        <v>46.9</v>
      </c>
      <c r="D252" s="149" t="s">
        <v>139</v>
      </c>
    </row>
    <row r="253" spans="1:4" ht="15.75" customHeight="1" thickTop="1">
      <c r="A253" s="149"/>
      <c r="B253" s="149"/>
      <c r="C253" s="158"/>
      <c r="D253" s="149"/>
    </row>
    <row r="254" spans="1:4" ht="15.75" customHeight="1">
      <c r="A254" s="149"/>
      <c r="B254" s="149"/>
      <c r="C254" s="149"/>
      <c r="D254" s="160" t="s">
        <v>184</v>
      </c>
    </row>
    <row r="255" spans="1:4" ht="15.75" customHeight="1">
      <c r="A255" s="149"/>
      <c r="B255" s="149"/>
      <c r="C255" s="149"/>
      <c r="D255" s="149" t="s">
        <v>150</v>
      </c>
    </row>
    <row r="256" spans="1:4" ht="15.75" customHeight="1">
      <c r="A256" s="149"/>
      <c r="B256" s="149"/>
      <c r="C256" s="149">
        <v>13</v>
      </c>
      <c r="D256" s="149"/>
    </row>
    <row r="257" spans="1:4" ht="15.75" customHeight="1">
      <c r="A257" s="149"/>
      <c r="B257" s="149"/>
      <c r="C257" s="149">
        <v>13</v>
      </c>
      <c r="D257" s="149"/>
    </row>
    <row r="258" spans="1:4" ht="15.75" customHeight="1">
      <c r="A258" s="149"/>
      <c r="B258" s="151"/>
      <c r="C258" s="151"/>
      <c r="D258" s="149"/>
    </row>
    <row r="259" spans="1:4" ht="15.75" customHeight="1" thickBot="1">
      <c r="A259" s="149"/>
      <c r="B259" s="149"/>
      <c r="C259" s="152">
        <f>C256*C257</f>
        <v>169</v>
      </c>
      <c r="D259" s="149" t="s">
        <v>139</v>
      </c>
    </row>
    <row r="260" spans="1:4" ht="15.75" customHeight="1" thickTop="1">
      <c r="A260" s="149"/>
      <c r="B260" s="149"/>
      <c r="C260" s="158"/>
    </row>
    <row r="261" spans="1:4" ht="15.75" customHeight="1">
      <c r="A261" s="149"/>
      <c r="B261" s="149"/>
      <c r="C261" s="149"/>
      <c r="D261" s="150" t="s">
        <v>144</v>
      </c>
    </row>
    <row r="262" spans="1:4" ht="15.75" customHeight="1">
      <c r="A262" s="149"/>
      <c r="B262" s="149"/>
      <c r="C262" s="149"/>
      <c r="D262" s="150" t="s">
        <v>50</v>
      </c>
    </row>
    <row r="263" spans="1:4" ht="15.75" customHeight="1">
      <c r="A263" s="149"/>
      <c r="B263" s="149"/>
      <c r="C263" s="149"/>
      <c r="D263" s="158" t="s">
        <v>108</v>
      </c>
    </row>
    <row r="264" spans="1:4" ht="15.75" customHeight="1">
      <c r="A264" s="149"/>
      <c r="B264" s="149"/>
      <c r="C264" s="149"/>
      <c r="D264" s="158"/>
    </row>
    <row r="265" spans="1:4" ht="15.75" customHeight="1">
      <c r="A265" s="149"/>
      <c r="B265" s="149"/>
      <c r="C265" s="149"/>
      <c r="D265" s="128" t="s">
        <v>223</v>
      </c>
    </row>
    <row r="266" spans="1:4" ht="15.75" customHeight="1">
      <c r="A266" s="149">
        <v>1</v>
      </c>
      <c r="B266" s="149">
        <v>15</v>
      </c>
      <c r="C266" s="149"/>
      <c r="D266" s="149"/>
    </row>
    <row r="267" spans="1:4" ht="15.75" customHeight="1">
      <c r="A267" s="149"/>
      <c r="B267" s="151">
        <v>2</v>
      </c>
      <c r="C267" s="151">
        <f>B266*B267*A266</f>
        <v>30</v>
      </c>
      <c r="D267" s="149"/>
    </row>
    <row r="268" spans="1:4" ht="15.75" customHeight="1">
      <c r="A268" s="149">
        <v>2</v>
      </c>
      <c r="B268" s="149">
        <v>20</v>
      </c>
      <c r="C268" s="149"/>
      <c r="D268" s="149"/>
    </row>
    <row r="269" spans="1:4" ht="15.75" customHeight="1">
      <c r="A269" s="149"/>
      <c r="B269" s="151">
        <v>1</v>
      </c>
      <c r="C269" s="151">
        <f>B268*B269*A268</f>
        <v>40</v>
      </c>
      <c r="D269" s="149"/>
    </row>
    <row r="270" spans="1:4" ht="15.75" customHeight="1">
      <c r="A270" s="149"/>
      <c r="B270" s="149"/>
      <c r="C270" s="149"/>
      <c r="D270" s="149"/>
    </row>
    <row r="271" spans="1:4" ht="15.75" customHeight="1">
      <c r="A271" s="149"/>
      <c r="B271" s="149"/>
      <c r="C271" s="149">
        <f>SUM(C267:C269)</f>
        <v>70</v>
      </c>
      <c r="D271" s="149" t="s">
        <v>224</v>
      </c>
    </row>
    <row r="272" spans="1:4" ht="15.75" customHeight="1">
      <c r="A272" s="149"/>
      <c r="B272" s="149"/>
      <c r="C272" s="149"/>
      <c r="D272" s="82"/>
    </row>
    <row r="273" spans="1:4" ht="15.75" customHeight="1">
      <c r="A273" s="149"/>
      <c r="B273" s="149"/>
      <c r="C273" s="149"/>
      <c r="D273" s="128" t="s">
        <v>225</v>
      </c>
    </row>
    <row r="274" spans="1:4" ht="15.75" customHeight="1">
      <c r="A274" s="149">
        <v>1</v>
      </c>
      <c r="B274" s="149">
        <v>25</v>
      </c>
      <c r="C274" s="149"/>
      <c r="D274" s="149"/>
    </row>
    <row r="275" spans="1:4" ht="15.75" customHeight="1">
      <c r="A275" s="149"/>
      <c r="B275" s="151">
        <v>1</v>
      </c>
      <c r="C275" s="151">
        <f>B274*B275*A274</f>
        <v>25</v>
      </c>
      <c r="D275" s="149"/>
    </row>
    <row r="276" spans="1:4" ht="15.75" customHeight="1">
      <c r="A276" s="149"/>
      <c r="B276" s="149"/>
      <c r="C276" s="149"/>
      <c r="D276" s="149"/>
    </row>
    <row r="277" spans="1:4" ht="15.75" customHeight="1">
      <c r="A277" s="149"/>
      <c r="B277" s="149"/>
      <c r="C277" s="149">
        <f>SUM(C275:C275)</f>
        <v>25</v>
      </c>
      <c r="D277" s="149" t="s">
        <v>224</v>
      </c>
    </row>
    <row r="278" spans="1:4" ht="15.75" customHeight="1">
      <c r="A278" s="149"/>
      <c r="B278" s="149"/>
      <c r="C278" s="149"/>
      <c r="D278" s="82"/>
    </row>
    <row r="279" spans="1:4" ht="15.75" customHeight="1">
      <c r="A279" s="149"/>
      <c r="B279" s="149"/>
      <c r="C279" s="149"/>
      <c r="D279" s="128" t="s">
        <v>227</v>
      </c>
    </row>
    <row r="280" spans="1:4" ht="15.75" customHeight="1">
      <c r="A280" s="149">
        <v>2</v>
      </c>
      <c r="B280" s="149">
        <v>30</v>
      </c>
      <c r="C280" s="149"/>
      <c r="D280" s="149"/>
    </row>
    <row r="281" spans="1:4" ht="15.75" customHeight="1">
      <c r="A281" s="149"/>
      <c r="B281" s="151">
        <v>1</v>
      </c>
      <c r="C281" s="151">
        <f>B280*B281*A280</f>
        <v>60</v>
      </c>
      <c r="D281" s="149"/>
    </row>
    <row r="282" spans="1:4" ht="15.75" customHeight="1">
      <c r="A282" s="149"/>
      <c r="B282" s="149"/>
      <c r="C282" s="149"/>
      <c r="D282" s="149"/>
    </row>
    <row r="283" spans="1:4" ht="15.75" customHeight="1">
      <c r="A283" s="149"/>
      <c r="B283" s="149"/>
      <c r="C283" s="149">
        <f>SUM(C281:C281)</f>
        <v>60</v>
      </c>
      <c r="D283" s="149" t="s">
        <v>224</v>
      </c>
    </row>
    <row r="284" spans="1:4" ht="15.75" customHeight="1">
      <c r="A284" s="149"/>
      <c r="B284" s="149"/>
      <c r="C284" s="149"/>
      <c r="D284" s="82"/>
    </row>
    <row r="285" spans="1:4" ht="15.75" customHeight="1">
      <c r="A285" s="149"/>
      <c r="B285" s="149"/>
      <c r="C285" s="149"/>
      <c r="D285" s="128" t="s">
        <v>228</v>
      </c>
    </row>
    <row r="286" spans="1:4" ht="15.75" customHeight="1">
      <c r="A286" s="149">
        <v>1</v>
      </c>
      <c r="B286" s="149">
        <v>30</v>
      </c>
      <c r="C286" s="149"/>
      <c r="D286" s="149"/>
    </row>
    <row r="287" spans="1:4" ht="15.75" customHeight="1">
      <c r="A287" s="149"/>
      <c r="B287" s="151">
        <v>1</v>
      </c>
      <c r="C287" s="151">
        <f>B286*B287*A286</f>
        <v>30</v>
      </c>
      <c r="D287" s="149"/>
    </row>
    <row r="288" spans="1:4" ht="15.75" customHeight="1">
      <c r="A288" s="149">
        <v>2</v>
      </c>
      <c r="B288" s="149">
        <v>5</v>
      </c>
      <c r="C288" s="149"/>
      <c r="D288" s="149"/>
    </row>
    <row r="289" spans="1:4" ht="15.75" customHeight="1">
      <c r="A289" s="149"/>
      <c r="B289" s="151">
        <v>1</v>
      </c>
      <c r="C289" s="151">
        <f>B288*B289*A288</f>
        <v>10</v>
      </c>
      <c r="D289" s="149"/>
    </row>
    <row r="290" spans="1:4" ht="15.75" customHeight="1">
      <c r="A290" s="149">
        <v>2</v>
      </c>
      <c r="B290" s="149">
        <v>10</v>
      </c>
      <c r="C290" s="149"/>
      <c r="D290" s="149"/>
    </row>
    <row r="291" spans="1:4" ht="15.75" customHeight="1">
      <c r="A291" s="149"/>
      <c r="B291" s="151">
        <v>1</v>
      </c>
      <c r="C291" s="151">
        <f>B290*B291*A290</f>
        <v>20</v>
      </c>
      <c r="D291" s="149"/>
    </row>
    <row r="292" spans="1:4" ht="15.75" customHeight="1">
      <c r="A292" s="149"/>
      <c r="B292" s="149"/>
      <c r="C292" s="149"/>
      <c r="D292" s="149"/>
    </row>
    <row r="293" spans="1:4" ht="15.75" customHeight="1">
      <c r="A293" s="149"/>
      <c r="B293" s="149"/>
      <c r="C293" s="149">
        <f>SUM(C287:C291)</f>
        <v>60</v>
      </c>
      <c r="D293" s="149" t="s">
        <v>224</v>
      </c>
    </row>
    <row r="294" spans="1:4" ht="15.75" customHeight="1">
      <c r="A294" s="149"/>
      <c r="B294" s="149"/>
      <c r="C294" s="149"/>
      <c r="D294" s="82"/>
    </row>
    <row r="295" spans="1:4" ht="15.75" customHeight="1">
      <c r="A295" s="149"/>
      <c r="B295" s="149"/>
      <c r="C295" s="149"/>
      <c r="D295" s="128" t="s">
        <v>229</v>
      </c>
    </row>
    <row r="296" spans="1:4" ht="15.75" customHeight="1">
      <c r="A296" s="149">
        <v>1</v>
      </c>
      <c r="B296" s="149">
        <v>30</v>
      </c>
      <c r="C296" s="149"/>
      <c r="D296" s="149"/>
    </row>
    <row r="297" spans="1:4" ht="15.75" customHeight="1">
      <c r="A297" s="149"/>
      <c r="B297" s="151">
        <v>1</v>
      </c>
      <c r="C297" s="151">
        <f>B296*B297*A296</f>
        <v>30</v>
      </c>
      <c r="D297" s="149"/>
    </row>
    <row r="298" spans="1:4" ht="15.75" customHeight="1">
      <c r="A298" s="149">
        <v>2</v>
      </c>
      <c r="B298" s="149">
        <v>25</v>
      </c>
      <c r="C298" s="149"/>
      <c r="D298" s="149"/>
    </row>
    <row r="299" spans="1:4" ht="15.75" customHeight="1">
      <c r="A299" s="149"/>
      <c r="B299" s="151">
        <v>1</v>
      </c>
      <c r="C299" s="151">
        <f>B298*B299*A298</f>
        <v>50</v>
      </c>
      <c r="D299" s="149"/>
    </row>
    <row r="300" spans="1:4" ht="15.75" customHeight="1">
      <c r="A300" s="149">
        <v>1</v>
      </c>
      <c r="B300" s="149">
        <v>47</v>
      </c>
      <c r="C300" s="149"/>
      <c r="D300" s="149"/>
    </row>
    <row r="301" spans="1:4" ht="15.75" customHeight="1">
      <c r="A301" s="149"/>
      <c r="B301" s="151">
        <v>1</v>
      </c>
      <c r="C301" s="151">
        <f>B300*B301*A300</f>
        <v>47</v>
      </c>
      <c r="D301" s="149"/>
    </row>
    <row r="302" spans="1:4" ht="15.75" customHeight="1">
      <c r="A302" s="149">
        <v>1</v>
      </c>
      <c r="B302" s="149">
        <v>34</v>
      </c>
      <c r="C302" s="149"/>
      <c r="D302" s="149"/>
    </row>
    <row r="303" spans="1:4" ht="15.75" customHeight="1">
      <c r="A303" s="149"/>
      <c r="B303" s="151">
        <v>1</v>
      </c>
      <c r="C303" s="151">
        <f>B302*B303*A302</f>
        <v>34</v>
      </c>
      <c r="D303" s="149"/>
    </row>
    <row r="304" spans="1:4" ht="15.75" customHeight="1">
      <c r="A304" s="149"/>
      <c r="B304" s="149"/>
      <c r="C304" s="149"/>
      <c r="D304" s="149"/>
    </row>
    <row r="305" spans="1:4" ht="15.75" customHeight="1">
      <c r="A305" s="149"/>
      <c r="B305" s="149"/>
      <c r="C305" s="149">
        <f>SUM(C297:C303)</f>
        <v>161</v>
      </c>
      <c r="D305" s="149" t="s">
        <v>224</v>
      </c>
    </row>
    <row r="306" spans="1:4" ht="15.75" customHeight="1">
      <c r="A306" s="149"/>
      <c r="B306" s="149"/>
      <c r="C306" s="161"/>
      <c r="D306" s="149"/>
    </row>
    <row r="307" spans="1:4" ht="15.75" customHeight="1">
      <c r="A307" s="149"/>
      <c r="B307" s="149"/>
      <c r="C307" s="149"/>
      <c r="D307" s="158"/>
    </row>
    <row r="308" spans="1:4" ht="15.75" customHeight="1">
      <c r="A308" s="229"/>
      <c r="B308" s="149"/>
      <c r="C308" s="149"/>
      <c r="D308" s="149"/>
    </row>
    <row r="309" spans="1:4" ht="15.75" customHeight="1">
      <c r="A309" s="230"/>
      <c r="B309" s="149"/>
      <c r="C309" s="163"/>
      <c r="D309" s="149"/>
    </row>
    <row r="310" spans="1:4" ht="15.75" customHeight="1">
      <c r="A310" s="229"/>
      <c r="B310" s="149"/>
      <c r="C310" s="149"/>
      <c r="D310" s="149"/>
    </row>
    <row r="311" spans="1:4" ht="15.75" customHeight="1">
      <c r="A311" s="230"/>
      <c r="B311" s="149"/>
      <c r="C311" s="163"/>
      <c r="D311" s="149"/>
    </row>
    <row r="312" spans="1:4" ht="15.75" customHeight="1">
      <c r="A312" s="149"/>
      <c r="B312" s="149"/>
      <c r="C312" s="149"/>
      <c r="D312" s="149"/>
    </row>
    <row r="313" spans="1:4" ht="15.75" customHeight="1">
      <c r="A313" s="149"/>
      <c r="B313" s="149"/>
      <c r="C313" s="149"/>
      <c r="D313" s="149"/>
    </row>
    <row r="314" spans="1:4" ht="15.75" customHeight="1">
      <c r="A314" s="229"/>
      <c r="B314" s="149"/>
      <c r="C314" s="149"/>
      <c r="D314" s="149"/>
    </row>
    <row r="315" spans="1:4" ht="15.75" customHeight="1">
      <c r="A315" s="230"/>
      <c r="B315" s="149"/>
      <c r="C315" s="164"/>
      <c r="D315" s="149"/>
    </row>
    <row r="316" spans="1:4" ht="15.75" customHeight="1">
      <c r="A316" s="229"/>
      <c r="B316" s="149"/>
      <c r="C316" s="149"/>
      <c r="D316" s="149"/>
    </row>
    <row r="317" spans="1:4" ht="15.75" customHeight="1">
      <c r="A317" s="230"/>
      <c r="B317" s="149"/>
      <c r="C317" s="164"/>
      <c r="D317" s="149"/>
    </row>
    <row r="318" spans="1:4" ht="15.75" customHeight="1">
      <c r="A318" s="149"/>
      <c r="B318" s="149"/>
      <c r="C318" s="149"/>
      <c r="D318" s="149"/>
    </row>
    <row r="319" spans="1:4" ht="15.75" customHeight="1">
      <c r="A319" s="149"/>
      <c r="B319" s="149"/>
      <c r="C319" s="149"/>
      <c r="D319" s="158"/>
    </row>
    <row r="320" spans="1:4" ht="15.75" customHeight="1">
      <c r="A320" s="149"/>
      <c r="B320" s="149"/>
      <c r="C320" s="149"/>
      <c r="D320" s="158"/>
    </row>
    <row r="321" spans="1:4" ht="15.75" customHeight="1">
      <c r="A321" s="149"/>
      <c r="B321" s="149"/>
      <c r="C321" s="149"/>
      <c r="D321" s="149"/>
    </row>
    <row r="322" spans="1:4" ht="15.75" customHeight="1">
      <c r="A322" s="149"/>
      <c r="B322" s="149"/>
      <c r="C322" s="149"/>
      <c r="D322" s="149"/>
    </row>
    <row r="323" spans="1:4" ht="15.75" customHeight="1">
      <c r="A323" s="229"/>
      <c r="B323" s="149"/>
      <c r="C323" s="149"/>
      <c r="D323" s="149"/>
    </row>
    <row r="324" spans="1:4" ht="15.75" customHeight="1">
      <c r="A324" s="230"/>
      <c r="B324" s="149"/>
      <c r="C324" s="161"/>
      <c r="D324" s="149"/>
    </row>
    <row r="325" spans="1:4" ht="15.75" customHeight="1">
      <c r="A325" s="149"/>
      <c r="B325" s="149"/>
      <c r="C325" s="149"/>
      <c r="D325" s="149"/>
    </row>
    <row r="326" spans="1:4" ht="15.75" customHeight="1">
      <c r="A326" s="149"/>
      <c r="B326" s="149"/>
      <c r="C326" s="149"/>
      <c r="D326" s="149"/>
    </row>
    <row r="327" spans="1:4" ht="15.75" customHeight="1">
      <c r="A327" s="229"/>
      <c r="B327" s="149"/>
      <c r="C327" s="149"/>
      <c r="D327" s="149"/>
    </row>
    <row r="328" spans="1:4" ht="15.75" customHeight="1">
      <c r="A328" s="230"/>
      <c r="B328" s="149"/>
      <c r="C328" s="161"/>
      <c r="D328" s="149"/>
    </row>
    <row r="329" spans="1:4" ht="15.75" customHeight="1">
      <c r="A329" s="148"/>
      <c r="B329" s="149"/>
      <c r="C329" s="162"/>
      <c r="D329" s="149"/>
    </row>
    <row r="330" spans="1:4" ht="15.75" customHeight="1">
      <c r="A330" s="149"/>
      <c r="B330" s="149"/>
      <c r="C330" s="149"/>
      <c r="D330" s="149"/>
    </row>
    <row r="331" spans="1:4" ht="15.75" customHeight="1">
      <c r="A331" s="149"/>
      <c r="B331" s="149"/>
      <c r="C331" s="149"/>
      <c r="D331" s="149"/>
    </row>
    <row r="332" spans="1:4" ht="15.75" customHeight="1">
      <c r="A332" s="149"/>
      <c r="B332" s="149"/>
      <c r="C332" s="149"/>
      <c r="D332" s="149"/>
    </row>
    <row r="333" spans="1:4" ht="15.75" customHeight="1">
      <c r="A333" s="229"/>
      <c r="B333" s="149"/>
      <c r="C333" s="149"/>
      <c r="D333" s="149"/>
    </row>
    <row r="334" spans="1:4" ht="15.75" customHeight="1">
      <c r="A334" s="230"/>
      <c r="B334" s="149"/>
      <c r="C334" s="162"/>
      <c r="D334" s="149"/>
    </row>
    <row r="335" spans="1:4" ht="15.75" customHeight="1">
      <c r="A335" s="149"/>
      <c r="B335" s="149"/>
      <c r="C335" s="149"/>
      <c r="D335" s="149"/>
    </row>
    <row r="336" spans="1:4" ht="15.75" customHeight="1">
      <c r="A336" s="149"/>
      <c r="B336" s="149"/>
      <c r="C336" s="149"/>
      <c r="D336" s="158"/>
    </row>
    <row r="337" spans="1:4" ht="15.75" customHeight="1">
      <c r="A337" s="149"/>
      <c r="B337" s="149"/>
      <c r="C337" s="149"/>
      <c r="D337" s="149"/>
    </row>
    <row r="338" spans="1:4" ht="15.75" customHeight="1">
      <c r="A338" s="149"/>
      <c r="B338" s="149"/>
      <c r="C338" s="149"/>
      <c r="D338" s="149"/>
    </row>
    <row r="339" spans="1:4" ht="15.75" customHeight="1">
      <c r="A339" s="229"/>
      <c r="B339" s="149"/>
      <c r="C339" s="149"/>
      <c r="D339" s="149"/>
    </row>
    <row r="340" spans="1:4" ht="15.75" customHeight="1">
      <c r="A340" s="230"/>
      <c r="B340" s="149"/>
      <c r="C340" s="163"/>
      <c r="D340" s="149"/>
    </row>
    <row r="341" spans="1:4" ht="15.75" customHeight="1">
      <c r="A341" s="149"/>
      <c r="B341" s="149"/>
      <c r="C341" s="149"/>
      <c r="D341" s="149"/>
    </row>
    <row r="342" spans="1:4" ht="15.75" customHeight="1">
      <c r="A342" s="149"/>
      <c r="B342" s="149"/>
      <c r="C342" s="149"/>
      <c r="D342" s="149"/>
    </row>
    <row r="343" spans="1:4" ht="15.75" customHeight="1">
      <c r="A343" s="229"/>
      <c r="B343" s="149"/>
      <c r="C343" s="149"/>
      <c r="D343" s="149"/>
    </row>
    <row r="344" spans="1:4" ht="15.75" customHeight="1">
      <c r="A344" s="230"/>
      <c r="B344" s="149"/>
      <c r="C344" s="164"/>
      <c r="D344" s="149"/>
    </row>
    <row r="345" spans="1:4" ht="15.75" customHeight="1">
      <c r="A345" s="149"/>
      <c r="B345" s="149"/>
      <c r="C345" s="149"/>
      <c r="D345" s="149"/>
    </row>
    <row r="346" spans="1:4" ht="15.75" customHeight="1">
      <c r="A346" s="149"/>
      <c r="B346" s="149"/>
      <c r="C346" s="149"/>
      <c r="D346" s="158"/>
    </row>
    <row r="347" spans="1:4" ht="15.75" customHeight="1">
      <c r="A347" s="149"/>
      <c r="B347" s="149"/>
      <c r="C347" s="161"/>
      <c r="D347" s="158"/>
    </row>
    <row r="348" spans="1:4" ht="15.75" customHeight="1">
      <c r="A348" s="149"/>
      <c r="B348" s="149"/>
      <c r="C348" s="161"/>
      <c r="D348" s="149"/>
    </row>
    <row r="349" spans="1:4" ht="15.75" customHeight="1">
      <c r="A349" s="149"/>
      <c r="B349" s="149"/>
      <c r="C349" s="161"/>
      <c r="D349" s="149"/>
    </row>
    <row r="350" spans="1:4" ht="15.75" customHeight="1">
      <c r="A350" s="149"/>
      <c r="B350" s="149"/>
      <c r="C350" s="161"/>
      <c r="D350" s="158"/>
    </row>
    <row r="351" spans="1:4" ht="15.75" customHeight="1">
      <c r="A351" s="149"/>
      <c r="B351" s="149"/>
      <c r="C351" s="161"/>
      <c r="D351" s="149"/>
    </row>
    <row r="352" spans="1:4" ht="15.75" customHeight="1">
      <c r="A352" s="149"/>
      <c r="B352" s="149"/>
      <c r="C352" s="161"/>
      <c r="D352" s="149"/>
    </row>
    <row r="353" spans="1:4" ht="15.75" customHeight="1">
      <c r="A353" s="149"/>
      <c r="B353" s="149"/>
      <c r="C353" s="161"/>
      <c r="D353" s="158"/>
    </row>
    <row r="354" spans="1:4" ht="15.75" customHeight="1">
      <c r="A354" s="149"/>
      <c r="B354" s="149"/>
      <c r="C354" s="165"/>
      <c r="D354" s="149"/>
    </row>
    <row r="355" spans="1:4" ht="15.75" customHeight="1">
      <c r="A355" s="149"/>
      <c r="B355" s="149"/>
      <c r="C355" s="166"/>
      <c r="D355" s="149"/>
    </row>
    <row r="356" spans="1:4" ht="15.75" customHeight="1">
      <c r="A356" s="149"/>
      <c r="B356" s="149"/>
      <c r="C356" s="149"/>
      <c r="D356" s="149"/>
    </row>
    <row r="357" spans="1:4" ht="15.75" customHeight="1">
      <c r="A357" s="149"/>
      <c r="B357" s="149"/>
      <c r="C357" s="149"/>
      <c r="D357" s="149"/>
    </row>
    <row r="358" spans="1:4" ht="15.75" customHeight="1">
      <c r="A358" s="149"/>
      <c r="B358" s="149"/>
      <c r="C358" s="149"/>
      <c r="D358" s="149"/>
    </row>
    <row r="359" spans="1:4" ht="15.75" customHeight="1">
      <c r="A359" s="149"/>
      <c r="B359" s="149"/>
      <c r="C359" s="149"/>
      <c r="D359" s="149"/>
    </row>
    <row r="360" spans="1:4" ht="15.75" customHeight="1">
      <c r="A360" s="149"/>
      <c r="B360" s="149"/>
      <c r="C360" s="149"/>
      <c r="D360" s="149"/>
    </row>
    <row r="361" spans="1:4" ht="15.75" customHeight="1">
      <c r="A361" s="149"/>
      <c r="B361" s="149"/>
      <c r="C361" s="149"/>
      <c r="D361" s="149"/>
    </row>
    <row r="362" spans="1:4" ht="15.75" customHeight="1">
      <c r="A362" s="149"/>
      <c r="B362" s="149"/>
      <c r="C362" s="149"/>
      <c r="D362" s="149"/>
    </row>
    <row r="363" spans="1:4" ht="15.75" customHeight="1">
      <c r="A363" s="149"/>
      <c r="B363" s="149"/>
      <c r="C363" s="149"/>
      <c r="D363" s="149"/>
    </row>
    <row r="364" spans="1:4" ht="15.75" customHeight="1">
      <c r="A364" s="149"/>
      <c r="B364" s="149"/>
      <c r="C364" s="149"/>
      <c r="D364" s="149"/>
    </row>
    <row r="365" spans="1:4" ht="15.75" customHeight="1">
      <c r="A365" s="149"/>
      <c r="B365" s="149"/>
      <c r="C365" s="149"/>
      <c r="D365" s="149"/>
    </row>
    <row r="366" spans="1:4" ht="15.75" customHeight="1">
      <c r="A366" s="149"/>
      <c r="B366" s="149"/>
      <c r="C366" s="149"/>
      <c r="D366" s="149"/>
    </row>
    <row r="367" spans="1:4" ht="15.75" customHeight="1">
      <c r="A367" s="149"/>
      <c r="B367" s="149"/>
      <c r="C367" s="149"/>
      <c r="D367" s="149"/>
    </row>
    <row r="368" spans="1:4" ht="15.75" customHeight="1">
      <c r="A368" s="149"/>
      <c r="B368" s="149"/>
      <c r="C368" s="149"/>
      <c r="D368" s="149"/>
    </row>
    <row r="369" spans="1:4" ht="15.75" customHeight="1">
      <c r="A369" s="149"/>
      <c r="B369" s="149"/>
      <c r="C369" s="149"/>
      <c r="D369" s="149"/>
    </row>
    <row r="370" spans="1:4" ht="15.75" customHeight="1">
      <c r="A370" s="149"/>
      <c r="B370" s="149"/>
      <c r="C370" s="149"/>
      <c r="D370" s="149"/>
    </row>
    <row r="371" spans="1:4" ht="15.75" customHeight="1">
      <c r="A371" s="149"/>
      <c r="B371" s="149"/>
      <c r="C371" s="149"/>
      <c r="D371" s="149"/>
    </row>
    <row r="372" spans="1:4" ht="15.75" customHeight="1">
      <c r="A372" s="149"/>
      <c r="B372" s="149"/>
      <c r="C372" s="149"/>
      <c r="D372" s="149"/>
    </row>
    <row r="373" spans="1:4" ht="15.75" customHeight="1">
      <c r="A373" s="149"/>
      <c r="B373" s="149"/>
      <c r="C373" s="149"/>
      <c r="D373" s="149"/>
    </row>
    <row r="374" spans="1:4" ht="15.75" customHeight="1">
      <c r="A374" s="149"/>
      <c r="B374" s="149"/>
      <c r="C374" s="149"/>
      <c r="D374" s="149"/>
    </row>
    <row r="375" spans="1:4" ht="15.75" customHeight="1">
      <c r="A375" s="149"/>
      <c r="B375" s="149"/>
      <c r="C375" s="149"/>
      <c r="D375" s="149"/>
    </row>
    <row r="376" spans="1:4" ht="15.75" customHeight="1">
      <c r="A376" s="149"/>
      <c r="B376" s="149"/>
      <c r="C376" s="149"/>
      <c r="D376" s="149"/>
    </row>
    <row r="377" spans="1:4" ht="15.75" customHeight="1">
      <c r="A377" s="149"/>
      <c r="B377" s="149"/>
      <c r="C377" s="149"/>
      <c r="D377" s="149"/>
    </row>
    <row r="378" spans="1:4" ht="15.75" customHeight="1">
      <c r="A378" s="149"/>
      <c r="B378" s="149"/>
      <c r="C378" s="149"/>
      <c r="D378" s="149"/>
    </row>
    <row r="379" spans="1:4" ht="15.75" customHeight="1">
      <c r="A379" s="149"/>
      <c r="B379" s="149"/>
      <c r="C379" s="149"/>
      <c r="D379" s="149"/>
    </row>
    <row r="380" spans="1:4" ht="15.75" customHeight="1">
      <c r="A380" s="149"/>
      <c r="B380" s="149"/>
      <c r="C380" s="149"/>
      <c r="D380" s="149"/>
    </row>
    <row r="381" spans="1:4" ht="15.75" customHeight="1">
      <c r="A381" s="149"/>
      <c r="B381" s="149"/>
      <c r="C381" s="149"/>
      <c r="D381" s="149"/>
    </row>
    <row r="382" spans="1:4" ht="15.75" customHeight="1">
      <c r="A382" s="149"/>
      <c r="B382" s="149"/>
      <c r="C382" s="149"/>
      <c r="D382" s="149"/>
    </row>
    <row r="383" spans="1:4" ht="15.75" customHeight="1">
      <c r="A383" s="149"/>
      <c r="B383" s="149"/>
      <c r="C383" s="149"/>
      <c r="D383" s="149"/>
    </row>
    <row r="384" spans="1:4" ht="15.75" customHeight="1">
      <c r="A384" s="149"/>
      <c r="B384" s="149"/>
      <c r="C384" s="149"/>
      <c r="D384" s="149"/>
    </row>
    <row r="385" spans="1:4" ht="15.75" customHeight="1">
      <c r="A385" s="149"/>
      <c r="B385" s="149"/>
      <c r="C385" s="149"/>
      <c r="D385" s="149"/>
    </row>
    <row r="386" spans="1:4" ht="15.75" customHeight="1">
      <c r="A386" s="149"/>
      <c r="B386" s="149"/>
      <c r="C386" s="149"/>
      <c r="D386" s="149"/>
    </row>
    <row r="387" spans="1:4" ht="15.75" customHeight="1">
      <c r="A387" s="149"/>
      <c r="B387" s="149"/>
      <c r="C387" s="149"/>
      <c r="D387" s="149"/>
    </row>
    <row r="388" spans="1:4" ht="15.75" customHeight="1">
      <c r="A388" s="149"/>
      <c r="B388" s="149"/>
      <c r="C388" s="149"/>
      <c r="D388" s="149"/>
    </row>
    <row r="389" spans="1:4" ht="15.75" customHeight="1">
      <c r="A389" s="149"/>
      <c r="B389" s="149"/>
      <c r="C389" s="149"/>
      <c r="D389" s="149"/>
    </row>
    <row r="390" spans="1:4" ht="15.75" customHeight="1">
      <c r="A390" s="149"/>
      <c r="B390" s="149"/>
      <c r="C390" s="149"/>
      <c r="D390" s="149"/>
    </row>
    <row r="391" spans="1:4" ht="15.75" customHeight="1">
      <c r="A391" s="149"/>
      <c r="B391" s="149"/>
      <c r="C391" s="149"/>
      <c r="D391" s="149"/>
    </row>
    <row r="392" spans="1:4" ht="15.75" customHeight="1">
      <c r="A392" s="149"/>
      <c r="B392" s="149"/>
      <c r="C392" s="149"/>
      <c r="D392" s="149"/>
    </row>
    <row r="393" spans="1:4" ht="15.75" customHeight="1">
      <c r="A393" s="149"/>
      <c r="B393" s="149"/>
      <c r="C393" s="149"/>
      <c r="D393" s="149"/>
    </row>
    <row r="394" spans="1:4" ht="15.75" customHeight="1">
      <c r="A394" s="149"/>
      <c r="B394" s="149"/>
      <c r="C394" s="149"/>
      <c r="D394" s="149"/>
    </row>
    <row r="395" spans="1:4" ht="15.75" customHeight="1">
      <c r="A395" s="149"/>
      <c r="B395" s="149"/>
      <c r="C395" s="149"/>
      <c r="D395" s="149"/>
    </row>
    <row r="396" spans="1:4" ht="15.75" customHeight="1">
      <c r="A396" s="149"/>
      <c r="B396" s="149"/>
      <c r="C396" s="149"/>
      <c r="D396" s="149"/>
    </row>
    <row r="397" spans="1:4" ht="15.75" customHeight="1">
      <c r="A397" s="149"/>
      <c r="B397" s="149"/>
      <c r="C397" s="149"/>
      <c r="D397" s="149"/>
    </row>
    <row r="398" spans="1:4" ht="15.75" customHeight="1">
      <c r="A398" s="149"/>
      <c r="B398" s="149"/>
      <c r="C398" s="149"/>
      <c r="D398" s="149"/>
    </row>
    <row r="399" spans="1:4" ht="15.75" customHeight="1">
      <c r="A399" s="149"/>
      <c r="B399" s="149"/>
      <c r="C399" s="149"/>
      <c r="D399" s="149"/>
    </row>
    <row r="400" spans="1:4" ht="15.75" customHeight="1">
      <c r="A400" s="149"/>
      <c r="B400" s="149"/>
      <c r="C400" s="149"/>
      <c r="D400" s="149"/>
    </row>
    <row r="401" spans="1:4" ht="15.75" customHeight="1">
      <c r="A401" s="149"/>
      <c r="B401" s="149"/>
      <c r="C401" s="149"/>
      <c r="D401" s="149"/>
    </row>
    <row r="402" spans="1:4" ht="15.75" customHeight="1">
      <c r="A402" s="149"/>
      <c r="B402" s="149"/>
      <c r="C402" s="149"/>
      <c r="D402" s="149"/>
    </row>
    <row r="403" spans="1:4" ht="15.75" customHeight="1">
      <c r="A403" s="149"/>
      <c r="B403" s="149"/>
      <c r="C403" s="149"/>
      <c r="D403" s="149"/>
    </row>
    <row r="404" spans="1:4" ht="15.75" customHeight="1">
      <c r="A404" s="149"/>
      <c r="B404" s="149"/>
      <c r="C404" s="149"/>
      <c r="D404" s="149"/>
    </row>
    <row r="405" spans="1:4" ht="15.75" customHeight="1">
      <c r="A405" s="149"/>
      <c r="B405" s="149"/>
      <c r="C405" s="149"/>
      <c r="D405" s="149"/>
    </row>
    <row r="406" spans="1:4" ht="15.75" customHeight="1">
      <c r="A406" s="149"/>
      <c r="B406" s="149"/>
      <c r="C406" s="149"/>
      <c r="D406" s="149"/>
    </row>
    <row r="407" spans="1:4" ht="15.75" customHeight="1">
      <c r="A407" s="149"/>
      <c r="B407" s="149"/>
      <c r="C407" s="149"/>
      <c r="D407" s="149"/>
    </row>
    <row r="408" spans="1:4" ht="15.75" customHeight="1">
      <c r="A408" s="149"/>
      <c r="B408" s="149"/>
      <c r="C408" s="149"/>
      <c r="D408" s="149"/>
    </row>
    <row r="409" spans="1:4" ht="15.75" customHeight="1">
      <c r="A409" s="149"/>
      <c r="B409" s="149"/>
      <c r="C409" s="149"/>
      <c r="D409" s="149"/>
    </row>
    <row r="410" spans="1:4" ht="15.75" customHeight="1">
      <c r="A410" s="149"/>
      <c r="B410" s="149"/>
      <c r="C410" s="149"/>
      <c r="D410" s="149"/>
    </row>
    <row r="411" spans="1:4" ht="15.75" customHeight="1">
      <c r="A411" s="149"/>
      <c r="B411" s="149"/>
      <c r="C411" s="149"/>
      <c r="D411" s="149"/>
    </row>
    <row r="412" spans="1:4" ht="15.75" customHeight="1">
      <c r="A412" s="149"/>
      <c r="B412" s="149"/>
      <c r="C412" s="149"/>
      <c r="D412" s="149"/>
    </row>
    <row r="413" spans="1:4" ht="15.75" customHeight="1">
      <c r="A413" s="149"/>
      <c r="B413" s="149"/>
      <c r="C413" s="149"/>
      <c r="D413" s="149"/>
    </row>
    <row r="414" spans="1:4" ht="15.75" customHeight="1">
      <c r="A414" s="149"/>
      <c r="B414" s="149"/>
      <c r="C414" s="149"/>
      <c r="D414" s="149"/>
    </row>
    <row r="415" spans="1:4" ht="15.75" customHeight="1">
      <c r="A415" s="149"/>
      <c r="B415" s="149"/>
      <c r="C415" s="149"/>
      <c r="D415" s="149"/>
    </row>
    <row r="416" spans="1:4" ht="15.75" customHeight="1">
      <c r="A416" s="149"/>
      <c r="B416" s="149"/>
      <c r="C416" s="149"/>
      <c r="D416" s="149"/>
    </row>
    <row r="417" spans="1:4" ht="15.75" customHeight="1">
      <c r="A417" s="149"/>
      <c r="B417" s="149"/>
      <c r="C417" s="149"/>
      <c r="D417" s="149"/>
    </row>
    <row r="418" spans="1:4" ht="15.75" customHeight="1">
      <c r="A418" s="149"/>
      <c r="B418" s="149"/>
      <c r="C418" s="149"/>
      <c r="D418" s="149"/>
    </row>
    <row r="419" spans="1:4" ht="15.75" customHeight="1">
      <c r="A419" s="149"/>
      <c r="B419" s="149"/>
      <c r="C419" s="149"/>
      <c r="D419" s="149"/>
    </row>
    <row r="420" spans="1:4" ht="15.75" customHeight="1">
      <c r="A420" s="149"/>
      <c r="B420" s="149"/>
      <c r="C420" s="149"/>
      <c r="D420" s="149"/>
    </row>
    <row r="421" spans="1:4" ht="15.75" customHeight="1">
      <c r="A421" s="149"/>
      <c r="B421" s="149"/>
      <c r="C421" s="149"/>
      <c r="D421" s="149"/>
    </row>
    <row r="422" spans="1:4" ht="15.75" customHeight="1">
      <c r="A422" s="149"/>
      <c r="B422" s="149"/>
      <c r="C422" s="149"/>
      <c r="D422" s="149"/>
    </row>
    <row r="423" spans="1:4" ht="15.75" customHeight="1">
      <c r="A423" s="149"/>
      <c r="B423" s="149"/>
      <c r="C423" s="149"/>
      <c r="D423" s="149"/>
    </row>
    <row r="424" spans="1:4" ht="15.75" customHeight="1">
      <c r="A424" s="149"/>
      <c r="B424" s="149"/>
      <c r="C424" s="149"/>
      <c r="D424" s="149"/>
    </row>
    <row r="425" spans="1:4" ht="15.75" customHeight="1">
      <c r="A425" s="149"/>
      <c r="B425" s="149"/>
      <c r="C425" s="149"/>
      <c r="D425" s="149"/>
    </row>
    <row r="426" spans="1:4" ht="15.75" customHeight="1">
      <c r="A426" s="149"/>
      <c r="B426" s="149"/>
      <c r="C426" s="149"/>
      <c r="D426" s="149"/>
    </row>
    <row r="427" spans="1:4" ht="15.75" customHeight="1">
      <c r="A427" s="149"/>
      <c r="B427" s="149"/>
      <c r="C427" s="149"/>
      <c r="D427" s="149"/>
    </row>
    <row r="428" spans="1:4" ht="15.75" customHeight="1">
      <c r="A428" s="149"/>
      <c r="B428" s="149"/>
      <c r="C428" s="149"/>
      <c r="D428" s="149"/>
    </row>
    <row r="429" spans="1:4" ht="15.75" customHeight="1">
      <c r="A429" s="149"/>
      <c r="B429" s="149"/>
      <c r="C429" s="149"/>
      <c r="D429" s="149"/>
    </row>
    <row r="430" spans="1:4" ht="15.75" customHeight="1">
      <c r="A430" s="149"/>
      <c r="B430" s="149"/>
      <c r="C430" s="149"/>
      <c r="D430" s="149"/>
    </row>
    <row r="431" spans="1:4" ht="15.75" customHeight="1">
      <c r="A431" s="149"/>
      <c r="B431" s="149"/>
      <c r="C431" s="149"/>
      <c r="D431" s="149"/>
    </row>
    <row r="432" spans="1:4" ht="15.75" customHeight="1">
      <c r="A432" s="149"/>
      <c r="B432" s="149"/>
      <c r="C432" s="149"/>
      <c r="D432" s="149"/>
    </row>
    <row r="433" spans="1:4" ht="15.75" customHeight="1">
      <c r="A433" s="149"/>
      <c r="B433" s="149"/>
      <c r="C433" s="149"/>
      <c r="D433" s="149"/>
    </row>
    <row r="434" spans="1:4" ht="15.75" customHeight="1">
      <c r="A434" s="149"/>
      <c r="B434" s="149"/>
      <c r="C434" s="149"/>
      <c r="D434" s="149"/>
    </row>
    <row r="435" spans="1:4" ht="15.75" customHeight="1">
      <c r="A435" s="149"/>
      <c r="B435" s="149"/>
      <c r="C435" s="149"/>
      <c r="D435" s="149"/>
    </row>
    <row r="436" spans="1:4" ht="15.75" customHeight="1">
      <c r="A436" s="149"/>
      <c r="B436" s="149"/>
      <c r="C436" s="149"/>
      <c r="D436" s="149"/>
    </row>
    <row r="437" spans="1:4" ht="15.75" customHeight="1">
      <c r="A437" s="149"/>
      <c r="B437" s="149"/>
      <c r="C437" s="149"/>
      <c r="D437" s="149"/>
    </row>
    <row r="438" spans="1:4" ht="15.75" customHeight="1">
      <c r="A438" s="149"/>
      <c r="B438" s="149"/>
      <c r="C438" s="149"/>
      <c r="D438" s="149"/>
    </row>
    <row r="439" spans="1:4" ht="15.75" customHeight="1">
      <c r="A439" s="149"/>
      <c r="B439" s="149"/>
      <c r="C439" s="149"/>
      <c r="D439" s="149"/>
    </row>
    <row r="440" spans="1:4" ht="15.75" customHeight="1">
      <c r="A440" s="149"/>
      <c r="B440" s="149"/>
      <c r="C440" s="149"/>
      <c r="D440" s="149"/>
    </row>
    <row r="441" spans="1:4" ht="15.75" customHeight="1">
      <c r="A441" s="149"/>
      <c r="B441" s="149"/>
      <c r="C441" s="149"/>
      <c r="D441" s="149"/>
    </row>
    <row r="442" spans="1:4" ht="15.75" customHeight="1">
      <c r="A442" s="149"/>
      <c r="B442" s="149"/>
      <c r="C442" s="149"/>
      <c r="D442" s="149"/>
    </row>
    <row r="443" spans="1:4" ht="15.75" customHeight="1">
      <c r="A443" s="149"/>
      <c r="B443" s="149"/>
      <c r="C443" s="149"/>
      <c r="D443" s="149"/>
    </row>
    <row r="444" spans="1:4" ht="15.75" customHeight="1">
      <c r="A444" s="149"/>
      <c r="B444" s="149"/>
      <c r="C444" s="149"/>
      <c r="D444" s="149"/>
    </row>
    <row r="445" spans="1:4" ht="15.75" customHeight="1">
      <c r="A445" s="149"/>
      <c r="B445" s="149"/>
      <c r="C445" s="149"/>
      <c r="D445" s="149"/>
    </row>
    <row r="446" spans="1:4" ht="15.75" customHeight="1">
      <c r="A446" s="149"/>
      <c r="B446" s="149"/>
      <c r="C446" s="149"/>
      <c r="D446" s="149"/>
    </row>
    <row r="447" spans="1:4" ht="15.75" customHeight="1">
      <c r="A447" s="149"/>
      <c r="B447" s="149"/>
      <c r="C447" s="149"/>
      <c r="D447" s="149"/>
    </row>
    <row r="448" spans="1:4" ht="15.75" customHeight="1">
      <c r="A448" s="149"/>
      <c r="B448" s="149"/>
      <c r="C448" s="149"/>
      <c r="D448" s="149"/>
    </row>
    <row r="449" spans="1:4" ht="15.75" customHeight="1">
      <c r="A449" s="149"/>
      <c r="B449" s="149"/>
      <c r="C449" s="149"/>
      <c r="D449" s="149"/>
    </row>
    <row r="450" spans="1:4" ht="15.75" customHeight="1">
      <c r="A450" s="149"/>
      <c r="B450" s="149"/>
      <c r="C450" s="149"/>
      <c r="D450" s="149"/>
    </row>
    <row r="451" spans="1:4" ht="15.75" customHeight="1">
      <c r="A451" s="149"/>
      <c r="B451" s="149"/>
      <c r="C451" s="149"/>
      <c r="D451" s="149"/>
    </row>
    <row r="452" spans="1:4" ht="15.75" customHeight="1">
      <c r="A452" s="149"/>
      <c r="B452" s="149"/>
      <c r="C452" s="149"/>
      <c r="D452" s="149"/>
    </row>
    <row r="453" spans="1:4" ht="15.75" customHeight="1">
      <c r="A453" s="149"/>
      <c r="B453" s="149"/>
      <c r="C453" s="149"/>
      <c r="D453" s="149"/>
    </row>
    <row r="454" spans="1:4" ht="15.75" customHeight="1">
      <c r="A454" s="149"/>
      <c r="B454" s="149"/>
      <c r="C454" s="149"/>
      <c r="D454" s="149"/>
    </row>
    <row r="455" spans="1:4" ht="15.75" customHeight="1">
      <c r="A455" s="149"/>
      <c r="B455" s="149"/>
      <c r="C455" s="149"/>
      <c r="D455" s="149"/>
    </row>
    <row r="456" spans="1:4" ht="15.75" customHeight="1">
      <c r="A456" s="149"/>
      <c r="B456" s="149"/>
      <c r="C456" s="149"/>
      <c r="D456" s="149"/>
    </row>
    <row r="457" spans="1:4" ht="15.75" customHeight="1">
      <c r="A457" s="149"/>
      <c r="B457" s="149"/>
      <c r="C457" s="149"/>
      <c r="D457" s="149"/>
    </row>
    <row r="458" spans="1:4" ht="15.75" customHeight="1">
      <c r="A458" s="149"/>
      <c r="B458" s="149"/>
      <c r="C458" s="149"/>
      <c r="D458" s="149"/>
    </row>
    <row r="459" spans="1:4" ht="15.75" customHeight="1">
      <c r="A459" s="149"/>
      <c r="B459" s="149"/>
      <c r="C459" s="149"/>
      <c r="D459" s="149"/>
    </row>
    <row r="460" spans="1:4" ht="15.75" customHeight="1">
      <c r="A460" s="149"/>
      <c r="B460" s="149"/>
      <c r="C460" s="149"/>
      <c r="D460" s="149"/>
    </row>
    <row r="461" spans="1:4" ht="15.75" customHeight="1">
      <c r="A461" s="149"/>
      <c r="B461" s="149"/>
      <c r="C461" s="149"/>
      <c r="D461" s="149"/>
    </row>
    <row r="462" spans="1:4" ht="15.75" customHeight="1">
      <c r="A462" s="149"/>
      <c r="B462" s="149"/>
      <c r="C462" s="149"/>
      <c r="D462" s="149"/>
    </row>
    <row r="463" spans="1:4" ht="15.75" customHeight="1">
      <c r="A463" s="149"/>
      <c r="B463" s="149"/>
      <c r="C463" s="149"/>
      <c r="D463" s="149"/>
    </row>
    <row r="464" spans="1:4" ht="15.75" customHeight="1">
      <c r="A464" s="149"/>
      <c r="B464" s="149"/>
      <c r="C464" s="149"/>
      <c r="D464" s="149"/>
    </row>
    <row r="465" spans="1:4" ht="15.75" customHeight="1">
      <c r="A465" s="149"/>
      <c r="B465" s="149"/>
      <c r="C465" s="149"/>
      <c r="D465" s="149"/>
    </row>
    <row r="466" spans="1:4" ht="15.75" customHeight="1">
      <c r="A466" s="149"/>
      <c r="B466" s="149"/>
      <c r="C466" s="149"/>
      <c r="D466" s="149"/>
    </row>
    <row r="467" spans="1:4" ht="15.75" customHeight="1">
      <c r="A467" s="149"/>
      <c r="B467" s="149"/>
      <c r="C467" s="149"/>
      <c r="D467" s="149"/>
    </row>
    <row r="468" spans="1:4" ht="15.75" customHeight="1">
      <c r="A468" s="149"/>
      <c r="B468" s="149"/>
      <c r="C468" s="149"/>
      <c r="D468" s="149"/>
    </row>
    <row r="469" spans="1:4" ht="15.75" customHeight="1">
      <c r="A469" s="149"/>
      <c r="B469" s="149"/>
      <c r="C469" s="149"/>
      <c r="D469" s="149"/>
    </row>
    <row r="470" spans="1:4" ht="15.75" customHeight="1">
      <c r="A470" s="149"/>
      <c r="B470" s="149"/>
      <c r="C470" s="149"/>
      <c r="D470" s="149"/>
    </row>
    <row r="471" spans="1:4" ht="15.75" customHeight="1">
      <c r="A471" s="149"/>
      <c r="B471" s="149"/>
      <c r="C471" s="149"/>
      <c r="D471" s="149"/>
    </row>
    <row r="472" spans="1:4" ht="15.75" customHeight="1">
      <c r="A472" s="149"/>
      <c r="B472" s="149"/>
      <c r="C472" s="149"/>
      <c r="D472" s="149"/>
    </row>
    <row r="473" spans="1:4" ht="15.75" customHeight="1">
      <c r="A473" s="149"/>
      <c r="B473" s="149"/>
      <c r="C473" s="149"/>
      <c r="D473" s="149"/>
    </row>
    <row r="474" spans="1:4" ht="15.75" customHeight="1">
      <c r="A474" s="149"/>
      <c r="B474" s="149"/>
      <c r="C474" s="149"/>
      <c r="D474" s="149"/>
    </row>
    <row r="475" spans="1:4" ht="15.75" customHeight="1">
      <c r="A475" s="149"/>
      <c r="B475" s="149"/>
      <c r="C475" s="149"/>
      <c r="D475" s="149"/>
    </row>
    <row r="476" spans="1:4" ht="15.75" customHeight="1">
      <c r="A476" s="149"/>
      <c r="B476" s="149"/>
      <c r="C476" s="149"/>
      <c r="D476" s="149"/>
    </row>
    <row r="477" spans="1:4" ht="15.75" customHeight="1">
      <c r="A477" s="149"/>
      <c r="B477" s="149"/>
      <c r="C477" s="149"/>
      <c r="D477" s="149"/>
    </row>
    <row r="478" spans="1:4" ht="15.75" customHeight="1">
      <c r="A478" s="149"/>
      <c r="B478" s="149"/>
      <c r="C478" s="149"/>
      <c r="D478" s="149"/>
    </row>
    <row r="479" spans="1:4" ht="15.75" customHeight="1">
      <c r="A479" s="149"/>
      <c r="B479" s="149"/>
      <c r="C479" s="149"/>
      <c r="D479" s="149"/>
    </row>
    <row r="480" spans="1:4" ht="15.75" customHeight="1">
      <c r="A480" s="149"/>
      <c r="B480" s="149"/>
      <c r="C480" s="149"/>
      <c r="D480" s="149"/>
    </row>
    <row r="481" spans="1:4" ht="15.75" customHeight="1">
      <c r="A481" s="149"/>
      <c r="B481" s="149"/>
      <c r="C481" s="149"/>
      <c r="D481" s="149"/>
    </row>
    <row r="482" spans="1:4" ht="15.75" customHeight="1">
      <c r="A482" s="149"/>
      <c r="B482" s="149"/>
      <c r="C482" s="149"/>
      <c r="D482" s="149"/>
    </row>
    <row r="483" spans="1:4" ht="15.75" customHeight="1">
      <c r="A483" s="149"/>
      <c r="B483" s="149"/>
      <c r="C483" s="149"/>
      <c r="D483" s="149"/>
    </row>
    <row r="484" spans="1:4" ht="15.75" customHeight="1">
      <c r="A484" s="149"/>
      <c r="B484" s="149"/>
      <c r="C484" s="149"/>
      <c r="D484" s="149"/>
    </row>
    <row r="485" spans="1:4" ht="15.75" customHeight="1">
      <c r="A485" s="149"/>
      <c r="B485" s="149"/>
      <c r="C485" s="149"/>
      <c r="D485" s="149"/>
    </row>
    <row r="486" spans="1:4" ht="15.75" customHeight="1">
      <c r="A486" s="149"/>
      <c r="B486" s="149"/>
      <c r="C486" s="149"/>
      <c r="D486" s="149"/>
    </row>
    <row r="487" spans="1:4" ht="15.75" customHeight="1">
      <c r="A487" s="149"/>
      <c r="B487" s="149"/>
      <c r="C487" s="149"/>
      <c r="D487" s="149"/>
    </row>
    <row r="488" spans="1:4" ht="15.75" customHeight="1">
      <c r="A488" s="149"/>
      <c r="B488" s="149"/>
      <c r="C488" s="149"/>
      <c r="D488" s="149"/>
    </row>
    <row r="489" spans="1:4" ht="15.75" customHeight="1">
      <c r="A489" s="149"/>
      <c r="B489" s="149"/>
      <c r="C489" s="149"/>
      <c r="D489" s="149"/>
    </row>
    <row r="490" spans="1:4" ht="15.75" customHeight="1">
      <c r="A490" s="149"/>
      <c r="B490" s="149"/>
      <c r="C490" s="149"/>
      <c r="D490" s="149"/>
    </row>
    <row r="491" spans="1:4" ht="15.75" customHeight="1">
      <c r="A491" s="149"/>
      <c r="B491" s="149"/>
      <c r="C491" s="149"/>
      <c r="D491" s="149"/>
    </row>
    <row r="492" spans="1:4" ht="15.75" customHeight="1">
      <c r="A492" s="149"/>
      <c r="B492" s="149"/>
      <c r="C492" s="149"/>
      <c r="D492" s="149"/>
    </row>
    <row r="493" spans="1:4" ht="15.75" customHeight="1">
      <c r="A493" s="149"/>
      <c r="B493" s="149"/>
      <c r="C493" s="149"/>
      <c r="D493" s="149"/>
    </row>
    <row r="494" spans="1:4" ht="15.75" customHeight="1">
      <c r="A494" s="149"/>
      <c r="B494" s="149"/>
      <c r="C494" s="149"/>
      <c r="D494" s="149"/>
    </row>
    <row r="495" spans="1:4" ht="15.75" customHeight="1">
      <c r="A495" s="149"/>
      <c r="B495" s="149"/>
      <c r="C495" s="149"/>
      <c r="D495" s="149"/>
    </row>
    <row r="496" spans="1:4" ht="15.75" customHeight="1">
      <c r="A496" s="149"/>
      <c r="B496" s="149"/>
      <c r="C496" s="149"/>
      <c r="D496" s="149"/>
    </row>
    <row r="497" spans="1:4" ht="15.75" customHeight="1">
      <c r="A497" s="149"/>
      <c r="B497" s="149"/>
      <c r="C497" s="149"/>
      <c r="D497" s="149"/>
    </row>
    <row r="498" spans="1:4" ht="15.75" customHeight="1">
      <c r="A498" s="149"/>
      <c r="B498" s="149"/>
      <c r="C498" s="149"/>
      <c r="D498" s="149"/>
    </row>
    <row r="499" spans="1:4" ht="15.75" customHeight="1">
      <c r="A499" s="149"/>
      <c r="B499" s="149"/>
      <c r="C499" s="149"/>
      <c r="D499" s="149"/>
    </row>
    <row r="500" spans="1:4" ht="15.75" customHeight="1">
      <c r="A500" s="149"/>
      <c r="B500" s="149"/>
      <c r="C500" s="149"/>
      <c r="D500" s="149"/>
    </row>
    <row r="501" spans="1:4" ht="15.75" customHeight="1">
      <c r="A501" s="149"/>
      <c r="B501" s="149"/>
      <c r="C501" s="149"/>
      <c r="D501" s="149"/>
    </row>
    <row r="502" spans="1:4" ht="15.75" customHeight="1">
      <c r="A502" s="149"/>
      <c r="B502" s="149"/>
      <c r="C502" s="149"/>
      <c r="D502" s="149"/>
    </row>
    <row r="503" spans="1:4" ht="15.75" customHeight="1">
      <c r="A503" s="149"/>
      <c r="B503" s="149"/>
      <c r="C503" s="149"/>
      <c r="D503" s="149"/>
    </row>
    <row r="504" spans="1:4" ht="15.75" customHeight="1">
      <c r="A504" s="149"/>
      <c r="B504" s="149"/>
      <c r="C504" s="149"/>
      <c r="D504" s="149"/>
    </row>
    <row r="505" spans="1:4" ht="15.75" customHeight="1">
      <c r="A505" s="149"/>
      <c r="B505" s="149"/>
      <c r="C505" s="149"/>
      <c r="D505" s="149"/>
    </row>
    <row r="506" spans="1:4" ht="15.75" customHeight="1">
      <c r="A506" s="149"/>
      <c r="B506" s="149"/>
      <c r="C506" s="149"/>
      <c r="D506" s="149"/>
    </row>
    <row r="507" spans="1:4" ht="15.75" customHeight="1">
      <c r="A507" s="149"/>
      <c r="B507" s="149"/>
      <c r="C507" s="149"/>
      <c r="D507" s="149"/>
    </row>
    <row r="508" spans="1:4" ht="15.75" customHeight="1">
      <c r="A508" s="149"/>
      <c r="B508" s="149"/>
      <c r="C508" s="149"/>
      <c r="D508" s="149"/>
    </row>
    <row r="509" spans="1:4" ht="15.75" customHeight="1">
      <c r="A509" s="149"/>
      <c r="B509" s="149"/>
      <c r="C509" s="149"/>
      <c r="D509" s="149"/>
    </row>
    <row r="510" spans="1:4" ht="15.75" customHeight="1">
      <c r="A510" s="149"/>
      <c r="B510" s="149"/>
      <c r="C510" s="149"/>
      <c r="D510" s="149"/>
    </row>
    <row r="511" spans="1:4" ht="15.75" customHeight="1">
      <c r="A511" s="149"/>
      <c r="B511" s="149"/>
      <c r="C511" s="149"/>
      <c r="D511" s="149"/>
    </row>
    <row r="512" spans="1:4" ht="15.75" customHeight="1">
      <c r="A512" s="149"/>
      <c r="B512" s="149"/>
      <c r="C512" s="149"/>
      <c r="D512" s="149"/>
    </row>
    <row r="513" spans="1:4" ht="15.75" customHeight="1">
      <c r="A513" s="149"/>
      <c r="B513" s="149"/>
      <c r="C513" s="149"/>
      <c r="D513" s="149"/>
    </row>
    <row r="514" spans="1:4" ht="15.75" customHeight="1">
      <c r="A514" s="149"/>
      <c r="B514" s="149"/>
      <c r="C514" s="149"/>
      <c r="D514" s="149"/>
    </row>
    <row r="515" spans="1:4" ht="15.75" customHeight="1">
      <c r="A515" s="149"/>
      <c r="B515" s="149"/>
      <c r="C515" s="149"/>
      <c r="D515" s="149"/>
    </row>
    <row r="516" spans="1:4" ht="15.75" customHeight="1">
      <c r="A516" s="149"/>
      <c r="B516" s="149"/>
      <c r="C516" s="149"/>
      <c r="D516" s="149"/>
    </row>
    <row r="517" spans="1:4" ht="15.75" customHeight="1">
      <c r="A517" s="149"/>
      <c r="B517" s="149"/>
      <c r="C517" s="149"/>
      <c r="D517" s="149"/>
    </row>
    <row r="518" spans="1:4" ht="15.75" customHeight="1">
      <c r="A518" s="149"/>
      <c r="B518" s="149"/>
      <c r="C518" s="149"/>
      <c r="D518" s="149"/>
    </row>
    <row r="519" spans="1:4" ht="15.75" customHeight="1">
      <c r="A519" s="149"/>
      <c r="B519" s="149"/>
      <c r="C519" s="149"/>
      <c r="D519" s="149"/>
    </row>
    <row r="520" spans="1:4" ht="15.75" customHeight="1">
      <c r="A520" s="149"/>
      <c r="B520" s="149"/>
      <c r="C520" s="149"/>
      <c r="D520" s="149"/>
    </row>
    <row r="521" spans="1:4" ht="15.75" customHeight="1">
      <c r="A521" s="149"/>
      <c r="B521" s="149"/>
      <c r="C521" s="149"/>
      <c r="D521" s="149"/>
    </row>
    <row r="522" spans="1:4" ht="15.75" customHeight="1">
      <c r="A522" s="149"/>
      <c r="B522" s="149"/>
      <c r="C522" s="149"/>
      <c r="D522" s="149"/>
    </row>
    <row r="523" spans="1:4" ht="15.75" customHeight="1">
      <c r="A523" s="149"/>
      <c r="B523" s="149"/>
      <c r="C523" s="149"/>
      <c r="D523" s="149"/>
    </row>
    <row r="524" spans="1:4" ht="15.75" customHeight="1">
      <c r="A524" s="149"/>
      <c r="B524" s="149"/>
      <c r="C524" s="149"/>
      <c r="D524" s="149"/>
    </row>
    <row r="525" spans="1:4" ht="15.75" customHeight="1">
      <c r="A525" s="149"/>
      <c r="B525" s="149"/>
      <c r="C525" s="149"/>
      <c r="D525" s="149"/>
    </row>
    <row r="526" spans="1:4" ht="15.75" customHeight="1">
      <c r="A526" s="149"/>
      <c r="B526" s="149"/>
      <c r="C526" s="149"/>
      <c r="D526" s="149"/>
    </row>
    <row r="527" spans="1:4" ht="15.75" customHeight="1">
      <c r="A527" s="149"/>
      <c r="B527" s="149"/>
      <c r="C527" s="149"/>
      <c r="D527" s="149"/>
    </row>
    <row r="528" spans="1:4" ht="15.75" customHeight="1">
      <c r="A528" s="149"/>
      <c r="B528" s="149"/>
      <c r="C528" s="149"/>
      <c r="D528" s="149"/>
    </row>
    <row r="529" spans="1:4" ht="15.75" customHeight="1">
      <c r="A529" s="149"/>
      <c r="B529" s="149"/>
      <c r="C529" s="149"/>
      <c r="D529" s="149"/>
    </row>
    <row r="530" spans="1:4" ht="15.75" customHeight="1">
      <c r="A530" s="149"/>
      <c r="B530" s="149"/>
      <c r="C530" s="149"/>
      <c r="D530" s="149"/>
    </row>
    <row r="531" spans="1:4" ht="15.75" customHeight="1">
      <c r="A531" s="149"/>
      <c r="B531" s="149"/>
      <c r="C531" s="149"/>
      <c r="D531" s="149"/>
    </row>
    <row r="532" spans="1:4" ht="15.75" customHeight="1">
      <c r="A532" s="149"/>
      <c r="B532" s="149"/>
      <c r="C532" s="149"/>
      <c r="D532" s="149"/>
    </row>
    <row r="533" spans="1:4" ht="15.75" customHeight="1">
      <c r="A533" s="149"/>
      <c r="B533" s="149"/>
      <c r="C533" s="149"/>
      <c r="D533" s="149"/>
    </row>
    <row r="534" spans="1:4" ht="15.75" customHeight="1">
      <c r="A534" s="149"/>
      <c r="B534" s="149"/>
      <c r="C534" s="149"/>
      <c r="D534" s="149"/>
    </row>
    <row r="535" spans="1:4" ht="15.75" customHeight="1">
      <c r="A535" s="149"/>
      <c r="B535" s="149"/>
      <c r="C535" s="149"/>
      <c r="D535" s="149"/>
    </row>
    <row r="536" spans="1:4" ht="15.75" customHeight="1">
      <c r="A536" s="149"/>
      <c r="B536" s="149"/>
      <c r="C536" s="149"/>
      <c r="D536" s="149"/>
    </row>
    <row r="537" spans="1:4" ht="15.75" customHeight="1">
      <c r="A537" s="149"/>
      <c r="B537" s="149"/>
      <c r="C537" s="149"/>
      <c r="D537" s="149"/>
    </row>
    <row r="538" spans="1:4" ht="15.75" customHeight="1">
      <c r="A538" s="149"/>
      <c r="B538" s="149"/>
      <c r="C538" s="149"/>
      <c r="D538" s="149"/>
    </row>
    <row r="539" spans="1:4" ht="15.75" customHeight="1">
      <c r="A539" s="149"/>
      <c r="B539" s="149"/>
      <c r="C539" s="149"/>
      <c r="D539" s="149"/>
    </row>
    <row r="540" spans="1:4" ht="15.75" customHeight="1">
      <c r="A540" s="149"/>
      <c r="B540" s="149"/>
      <c r="C540" s="149"/>
      <c r="D540" s="149"/>
    </row>
    <row r="541" spans="1:4" ht="15.75" customHeight="1">
      <c r="A541" s="149"/>
      <c r="B541" s="149"/>
      <c r="C541" s="149"/>
      <c r="D541" s="149"/>
    </row>
    <row r="542" spans="1:4" ht="15.75" customHeight="1">
      <c r="A542" s="149"/>
      <c r="B542" s="149"/>
      <c r="C542" s="149"/>
      <c r="D542" s="149"/>
    </row>
    <row r="543" spans="1:4" ht="15.75" customHeight="1">
      <c r="A543" s="149"/>
      <c r="B543" s="149"/>
      <c r="C543" s="149"/>
      <c r="D543" s="149"/>
    </row>
    <row r="544" spans="1:4" ht="15.75" customHeight="1">
      <c r="A544" s="149"/>
      <c r="B544" s="149"/>
      <c r="C544" s="149"/>
      <c r="D544" s="149"/>
    </row>
    <row r="545" spans="1:4" ht="15.75" customHeight="1">
      <c r="A545" s="149"/>
      <c r="B545" s="149"/>
      <c r="C545" s="149"/>
      <c r="D545" s="149"/>
    </row>
    <row r="546" spans="1:4" ht="15.75" customHeight="1">
      <c r="A546" s="149"/>
      <c r="B546" s="149"/>
      <c r="C546" s="149"/>
      <c r="D546" s="149"/>
    </row>
    <row r="547" spans="1:4" ht="15.75" customHeight="1">
      <c r="A547" s="149"/>
      <c r="B547" s="149"/>
      <c r="C547" s="149"/>
      <c r="D547" s="149"/>
    </row>
    <row r="548" spans="1:4" ht="15.75" customHeight="1">
      <c r="A548" s="149"/>
      <c r="B548" s="149"/>
      <c r="C548" s="149"/>
      <c r="D548" s="149"/>
    </row>
    <row r="549" spans="1:4" ht="15.75" customHeight="1">
      <c r="A549" s="149"/>
      <c r="B549" s="149"/>
      <c r="C549" s="149"/>
      <c r="D549" s="149"/>
    </row>
    <row r="550" spans="1:4" ht="15.75" customHeight="1">
      <c r="A550" s="149"/>
      <c r="B550" s="149"/>
      <c r="C550" s="149"/>
      <c r="D550" s="149"/>
    </row>
    <row r="551" spans="1:4" ht="15.75" customHeight="1">
      <c r="A551" s="149"/>
      <c r="B551" s="149"/>
      <c r="C551" s="149"/>
      <c r="D551" s="149"/>
    </row>
    <row r="552" spans="1:4" ht="15.75" customHeight="1">
      <c r="A552" s="149"/>
      <c r="B552" s="149"/>
      <c r="C552" s="149"/>
      <c r="D552" s="149"/>
    </row>
    <row r="553" spans="1:4" ht="15.75" customHeight="1">
      <c r="A553" s="149"/>
      <c r="B553" s="149"/>
      <c r="C553" s="149"/>
      <c r="D553" s="149"/>
    </row>
    <row r="554" spans="1:4" ht="15.75" customHeight="1">
      <c r="A554" s="149"/>
      <c r="B554" s="149"/>
      <c r="C554" s="149"/>
      <c r="D554" s="149"/>
    </row>
    <row r="555" spans="1:4" ht="15.75" customHeight="1">
      <c r="A555" s="149"/>
      <c r="B555" s="149"/>
      <c r="C555" s="149"/>
      <c r="D555" s="149"/>
    </row>
    <row r="556" spans="1:4" ht="15.75" customHeight="1">
      <c r="A556" s="149"/>
      <c r="B556" s="149"/>
      <c r="C556" s="149"/>
      <c r="D556" s="149"/>
    </row>
    <row r="557" spans="1:4" ht="15.75" customHeight="1">
      <c r="A557" s="149"/>
      <c r="B557" s="149"/>
      <c r="C557" s="149"/>
      <c r="D557" s="149"/>
    </row>
    <row r="558" spans="1:4" ht="15.75" customHeight="1">
      <c r="A558" s="149"/>
      <c r="B558" s="149"/>
      <c r="C558" s="149"/>
      <c r="D558" s="149"/>
    </row>
    <row r="559" spans="1:4" ht="15.75" customHeight="1">
      <c r="A559" s="149"/>
      <c r="B559" s="149"/>
      <c r="C559" s="149"/>
      <c r="D559" s="149"/>
    </row>
    <row r="560" spans="1:4" ht="15.75" customHeight="1">
      <c r="A560" s="149"/>
      <c r="B560" s="149"/>
      <c r="C560" s="149"/>
      <c r="D560" s="149"/>
    </row>
    <row r="561" spans="1:4" ht="15.75" customHeight="1">
      <c r="A561" s="149"/>
      <c r="B561" s="149"/>
      <c r="C561" s="149"/>
      <c r="D561" s="149"/>
    </row>
    <row r="562" spans="1:4" ht="15.75" customHeight="1">
      <c r="A562" s="149"/>
      <c r="B562" s="149"/>
      <c r="C562" s="149"/>
      <c r="D562" s="149"/>
    </row>
    <row r="563" spans="1:4" ht="15.75" customHeight="1">
      <c r="A563" s="149"/>
      <c r="B563" s="149"/>
      <c r="C563" s="149"/>
      <c r="D563" s="149"/>
    </row>
    <row r="564" spans="1:4" ht="15.75" customHeight="1">
      <c r="A564" s="149"/>
      <c r="B564" s="149"/>
      <c r="C564" s="149"/>
      <c r="D564" s="149"/>
    </row>
    <row r="565" spans="1:4" ht="15.75" customHeight="1">
      <c r="A565" s="149"/>
      <c r="B565" s="149"/>
      <c r="C565" s="149"/>
      <c r="D565" s="149"/>
    </row>
    <row r="566" spans="1:4" ht="15.75" customHeight="1">
      <c r="A566" s="149"/>
      <c r="B566" s="149"/>
      <c r="C566" s="149"/>
      <c r="D566" s="149"/>
    </row>
    <row r="567" spans="1:4" ht="15.75" customHeight="1">
      <c r="A567" s="149"/>
      <c r="B567" s="149"/>
      <c r="C567" s="149"/>
      <c r="D567" s="149"/>
    </row>
    <row r="568" spans="1:4" ht="15.75" customHeight="1">
      <c r="A568" s="149"/>
      <c r="B568" s="149"/>
      <c r="C568" s="149"/>
      <c r="D568" s="149"/>
    </row>
    <row r="569" spans="1:4" ht="15.75" customHeight="1">
      <c r="A569" s="149"/>
      <c r="B569" s="149"/>
      <c r="C569" s="149"/>
      <c r="D569" s="149"/>
    </row>
    <row r="570" spans="1:4" ht="15.75" customHeight="1">
      <c r="A570" s="149"/>
      <c r="B570" s="149"/>
      <c r="C570" s="149"/>
      <c r="D570" s="149"/>
    </row>
    <row r="571" spans="1:4" ht="15.75" customHeight="1">
      <c r="A571" s="149"/>
      <c r="B571" s="149"/>
      <c r="C571" s="149"/>
      <c r="D571" s="149"/>
    </row>
    <row r="572" spans="1:4" ht="15.75" customHeight="1">
      <c r="A572" s="149"/>
      <c r="B572" s="149"/>
      <c r="C572" s="149"/>
      <c r="D572" s="149"/>
    </row>
    <row r="573" spans="1:4" ht="15.75" customHeight="1">
      <c r="A573" s="149"/>
      <c r="B573" s="149"/>
      <c r="C573" s="149"/>
      <c r="D573" s="149"/>
    </row>
    <row r="574" spans="1:4" ht="15.75" customHeight="1">
      <c r="A574" s="149"/>
      <c r="B574" s="149"/>
      <c r="C574" s="149"/>
      <c r="D574" s="149"/>
    </row>
    <row r="575" spans="1:4" ht="15.75" customHeight="1">
      <c r="A575" s="149"/>
      <c r="B575" s="149"/>
      <c r="C575" s="149"/>
      <c r="D575" s="149"/>
    </row>
    <row r="576" spans="1:4" ht="15.75" customHeight="1">
      <c r="A576" s="149"/>
      <c r="B576" s="149"/>
      <c r="C576" s="149"/>
      <c r="D576" s="149"/>
    </row>
    <row r="577" spans="1:4" ht="15.75" customHeight="1">
      <c r="A577" s="149"/>
      <c r="B577" s="149"/>
      <c r="C577" s="149"/>
      <c r="D577" s="149"/>
    </row>
    <row r="578" spans="1:4" ht="15.75" customHeight="1">
      <c r="A578" s="149"/>
      <c r="B578" s="149"/>
      <c r="C578" s="149"/>
      <c r="D578" s="149"/>
    </row>
    <row r="579" spans="1:4" ht="15.75" customHeight="1">
      <c r="A579" s="149"/>
      <c r="B579" s="149"/>
      <c r="C579" s="149"/>
      <c r="D579" s="149"/>
    </row>
    <row r="580" spans="1:4" ht="15.75" customHeight="1">
      <c r="A580" s="149"/>
      <c r="B580" s="149"/>
      <c r="C580" s="149"/>
      <c r="D580" s="149"/>
    </row>
    <row r="581" spans="1:4" ht="15.75" customHeight="1">
      <c r="A581" s="149"/>
      <c r="B581" s="149"/>
      <c r="C581" s="149"/>
      <c r="D581" s="149"/>
    </row>
    <row r="582" spans="1:4" ht="15.75" customHeight="1">
      <c r="A582" s="149"/>
      <c r="B582" s="149"/>
      <c r="C582" s="149"/>
      <c r="D582" s="149"/>
    </row>
    <row r="583" spans="1:4" ht="15.75" customHeight="1">
      <c r="A583" s="149"/>
      <c r="B583" s="149"/>
      <c r="C583" s="149"/>
      <c r="D583" s="149"/>
    </row>
    <row r="584" spans="1:4" ht="15.75" customHeight="1">
      <c r="A584" s="149"/>
      <c r="B584" s="149"/>
      <c r="C584" s="149"/>
      <c r="D584" s="149"/>
    </row>
    <row r="585" spans="1:4" ht="15.75" customHeight="1">
      <c r="A585" s="149"/>
      <c r="B585" s="149"/>
      <c r="C585" s="149"/>
      <c r="D585" s="149"/>
    </row>
    <row r="586" spans="1:4" ht="15.75" customHeight="1">
      <c r="A586" s="149"/>
      <c r="B586" s="149"/>
      <c r="C586" s="149"/>
      <c r="D586" s="149"/>
    </row>
    <row r="587" spans="1:4" ht="15.75" customHeight="1">
      <c r="A587" s="149"/>
      <c r="B587" s="149"/>
      <c r="C587" s="149"/>
      <c r="D587" s="149"/>
    </row>
    <row r="588" spans="1:4" ht="15.75" customHeight="1">
      <c r="A588" s="149"/>
      <c r="B588" s="149"/>
      <c r="C588" s="149"/>
      <c r="D588" s="149"/>
    </row>
    <row r="589" spans="1:4" ht="15.75" customHeight="1">
      <c r="A589" s="149"/>
      <c r="B589" s="149"/>
      <c r="C589" s="149"/>
      <c r="D589" s="149"/>
    </row>
    <row r="590" spans="1:4" ht="15.75" customHeight="1">
      <c r="A590" s="149"/>
      <c r="B590" s="149"/>
      <c r="C590" s="149"/>
      <c r="D590" s="149"/>
    </row>
    <row r="591" spans="1:4" ht="15.75" customHeight="1">
      <c r="A591" s="149"/>
      <c r="B591" s="149"/>
      <c r="C591" s="149"/>
      <c r="D591" s="149"/>
    </row>
    <row r="592" spans="1:4" ht="15.75" customHeight="1">
      <c r="A592" s="149"/>
      <c r="B592" s="149"/>
      <c r="C592" s="149"/>
      <c r="D592" s="149"/>
    </row>
    <row r="593" spans="1:4" ht="15.75" customHeight="1">
      <c r="A593" s="149"/>
      <c r="B593" s="149"/>
      <c r="C593" s="149"/>
      <c r="D593" s="149"/>
    </row>
    <row r="594" spans="1:4" ht="15.75" customHeight="1">
      <c r="A594" s="149"/>
      <c r="B594" s="149"/>
      <c r="C594" s="149"/>
      <c r="D594" s="149"/>
    </row>
    <row r="595" spans="1:4" ht="15.75" customHeight="1">
      <c r="A595" s="149"/>
      <c r="B595" s="149"/>
      <c r="C595" s="149"/>
      <c r="D595" s="149"/>
    </row>
    <row r="596" spans="1:4" ht="15.75" customHeight="1">
      <c r="A596" s="149"/>
      <c r="B596" s="149"/>
      <c r="C596" s="149"/>
      <c r="D596" s="149"/>
    </row>
    <row r="597" spans="1:4" ht="15.75" customHeight="1">
      <c r="A597" s="149"/>
      <c r="B597" s="149"/>
      <c r="C597" s="149"/>
      <c r="D597" s="149"/>
    </row>
    <row r="598" spans="1:4" ht="15.75" customHeight="1">
      <c r="A598" s="149"/>
      <c r="B598" s="149"/>
      <c r="C598" s="149"/>
      <c r="D598" s="149"/>
    </row>
    <row r="599" spans="1:4" ht="15.75" customHeight="1">
      <c r="A599" s="149"/>
      <c r="B599" s="149"/>
      <c r="C599" s="149"/>
      <c r="D599" s="149"/>
    </row>
  </sheetData>
  <mergeCells count="50">
    <mergeCell ref="A93:A94"/>
    <mergeCell ref="A96:A97"/>
    <mergeCell ref="A15:A16"/>
    <mergeCell ref="A18:A19"/>
    <mergeCell ref="A21:A22"/>
    <mergeCell ref="A24:A25"/>
    <mergeCell ref="A27:A28"/>
    <mergeCell ref="A51:A52"/>
    <mergeCell ref="A54:A55"/>
    <mergeCell ref="A63:A64"/>
    <mergeCell ref="A66:A67"/>
    <mergeCell ref="A69:A70"/>
    <mergeCell ref="A102:A103"/>
    <mergeCell ref="A105:A106"/>
    <mergeCell ref="A308:A309"/>
    <mergeCell ref="A310:A311"/>
    <mergeCell ref="A235:A236"/>
    <mergeCell ref="A238:A239"/>
    <mergeCell ref="A176:A177"/>
    <mergeCell ref="A179:A180"/>
    <mergeCell ref="A182:A183"/>
    <mergeCell ref="A162:A163"/>
    <mergeCell ref="A165:A166"/>
    <mergeCell ref="A144:A145"/>
    <mergeCell ref="A156:A157"/>
    <mergeCell ref="A159:A160"/>
    <mergeCell ref="A120:A121"/>
    <mergeCell ref="A123:A124"/>
    <mergeCell ref="A343:A344"/>
    <mergeCell ref="A42:A43"/>
    <mergeCell ref="A45:A46"/>
    <mergeCell ref="A81:A82"/>
    <mergeCell ref="A84:A85"/>
    <mergeCell ref="A314:A315"/>
    <mergeCell ref="A316:A317"/>
    <mergeCell ref="A323:A324"/>
    <mergeCell ref="A327:A328"/>
    <mergeCell ref="A333:A334"/>
    <mergeCell ref="A339:A340"/>
    <mergeCell ref="A48:A49"/>
    <mergeCell ref="A225:A226"/>
    <mergeCell ref="A138:A139"/>
    <mergeCell ref="A141:A142"/>
    <mergeCell ref="A99:A100"/>
    <mergeCell ref="A126:A127"/>
    <mergeCell ref="A173:A174"/>
    <mergeCell ref="A241:A242"/>
    <mergeCell ref="A192:A193"/>
    <mergeCell ref="A195:A196"/>
    <mergeCell ref="A198:A199"/>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H63"/>
  <sheetViews>
    <sheetView workbookViewId="0">
      <pane ySplit="1" topLeftCell="A2" activePane="bottomLeft" state="frozen"/>
      <selection pane="bottomLeft" activeCell="E2" sqref="E2"/>
    </sheetView>
  </sheetViews>
  <sheetFormatPr defaultColWidth="8.6328125" defaultRowHeight="14.5"/>
  <sheetData>
    <row r="1" spans="1:8">
      <c r="B1">
        <v>8</v>
      </c>
      <c r="C1">
        <v>10</v>
      </c>
      <c r="D1">
        <v>12</v>
      </c>
      <c r="E1">
        <v>14</v>
      </c>
      <c r="F1">
        <v>16</v>
      </c>
      <c r="G1">
        <v>20</v>
      </c>
      <c r="H1">
        <v>24</v>
      </c>
    </row>
    <row r="2" spans="1:8">
      <c r="A2" t="s">
        <v>17</v>
      </c>
      <c r="B2">
        <f>1.5*(5.058/0.13+1+5.04/0.13+1+4.7/0.13+1+6.04/0.13+1)</f>
        <v>246.43846153846152</v>
      </c>
      <c r="E2">
        <f>2*9+2*5.8+2*9+2.4+3.6+3.5+3.6+2.5+2*11.3+2*11.2+4.2+3.8+3.6+4.3</f>
        <v>124.10000000000001</v>
      </c>
    </row>
    <row r="3" spans="1:8">
      <c r="A3" t="s">
        <v>18</v>
      </c>
      <c r="B3">
        <f>1.5*(1194/130+1+3657/130+1+5190/130+1)</f>
        <v>120.3576923076923</v>
      </c>
      <c r="E3">
        <f>2*4.9+2*9+3.8+3.6+2.5+2*7+2*6.2+3.6+4.4</f>
        <v>72.100000000000009</v>
      </c>
    </row>
    <row r="4" spans="1:8">
      <c r="B4">
        <f>1.5*(4.45+6.3+5.6+5+2.8)/0.13</f>
        <v>278.65384615384613</v>
      </c>
      <c r="E4">
        <f>2*(8.4+5.55+11.5+2.2+11.2+6.2+8.4)+3.6+4+3.6+5.08+4.5+4+3.5</f>
        <v>135.17999999999998</v>
      </c>
    </row>
    <row r="5" spans="1:8">
      <c r="A5" t="s">
        <v>19</v>
      </c>
      <c r="B5">
        <f>1.5*(5.4/0.13+1)</f>
        <v>63.807692307692307</v>
      </c>
      <c r="E5">
        <f>2*(7.4+6.7)</f>
        <v>28.200000000000003</v>
      </c>
    </row>
    <row r="6" spans="1:8">
      <c r="A6" t="s">
        <v>20</v>
      </c>
      <c r="B6">
        <f>1.5*(5.35+5.8)/0.13</f>
        <v>128.65384615384613</v>
      </c>
      <c r="E6">
        <f>2*9.3+2*3.7+2.7+3.8+2.5+12*2+4.2+4.6</f>
        <v>67.8</v>
      </c>
    </row>
    <row r="7" spans="1:8">
      <c r="A7" t="s">
        <v>21</v>
      </c>
      <c r="B7">
        <f>1.5*(5.3+5.8)/0.13</f>
        <v>128.07692307692307</v>
      </c>
      <c r="E7">
        <f>2*(9.5+3.8+12)+2.7+3.8+2.5+4.2+4.6</f>
        <v>68.400000000000006</v>
      </c>
    </row>
    <row r="8" spans="1:8">
      <c r="A8" t="s">
        <v>22</v>
      </c>
      <c r="B8">
        <f>1.5*(5.3+5.8)/0.13</f>
        <v>128.07692307692307</v>
      </c>
      <c r="E8">
        <f>2*(9.5+3.8+12+12)+2.7+3.8+2.5</f>
        <v>83.6</v>
      </c>
    </row>
    <row r="9" spans="1:8">
      <c r="A9" t="s">
        <v>23</v>
      </c>
      <c r="B9">
        <f>1.5*(6200+5350+5850)/130</f>
        <v>200.76923076923077</v>
      </c>
      <c r="E9">
        <f>2*(4+12+4+2.8+6.8+6+6.6)+3.9+3.8+2.8</f>
        <v>94.9</v>
      </c>
    </row>
    <row r="10" spans="1:8">
      <c r="A10" t="s">
        <v>24</v>
      </c>
      <c r="B10">
        <f>1.5*(6.2+4.4)/0.13</f>
        <v>122.30769230769232</v>
      </c>
      <c r="E10">
        <f>2*(4.3+8.3+11.3)+3+3.6+1.5</f>
        <v>55.900000000000006</v>
      </c>
    </row>
    <row r="11" spans="1:8">
      <c r="B11">
        <f>1.5*(3.4/0.13)</f>
        <v>39.230769230769226</v>
      </c>
      <c r="E11">
        <f>2*(5.8+5.1)+1.45+2.6</f>
        <v>25.849999999999998</v>
      </c>
    </row>
    <row r="12" spans="1:8">
      <c r="A12" t="s">
        <v>25</v>
      </c>
      <c r="B12">
        <f>1.5*(5+5)/0.13</f>
        <v>115.38461538461539</v>
      </c>
      <c r="E12">
        <f>2*(9.5+4.4+6.2+7)+2.7+3.8+3</f>
        <v>63.7</v>
      </c>
    </row>
    <row r="13" spans="1:8">
      <c r="A13" t="s">
        <v>26</v>
      </c>
      <c r="B13">
        <f>1.5*(5.3+4.5+4.7)/0.13</f>
        <v>167.30769230769229</v>
      </c>
      <c r="F13">
        <f>2*12+7+3.8+6+4.6+4.6+3.8</f>
        <v>53.8</v>
      </c>
      <c r="G13">
        <f>4*4.4+4*4.4+2*3+4*3+5*7+5*7</f>
        <v>123.2</v>
      </c>
    </row>
    <row r="14" spans="1:8">
      <c r="A14" t="s">
        <v>27</v>
      </c>
      <c r="B14">
        <f>1.5*(1.9+6.3+5.6)/0.13</f>
        <v>159.23076923076923</v>
      </c>
      <c r="E14">
        <f>2*(8.5+6)+4.4</f>
        <v>33.4</v>
      </c>
      <c r="F14">
        <f>2*(6.4+8.9)+4.5+4+2.5</f>
        <v>41.6</v>
      </c>
    </row>
    <row r="15" spans="1:8">
      <c r="B15">
        <f>1.5*(5/0.13)</f>
        <v>57.692307692307693</v>
      </c>
      <c r="E15">
        <f>2*6.1+2.3+2.2+5.4*2+4.2</f>
        <v>31.7</v>
      </c>
    </row>
    <row r="16" spans="1:8">
      <c r="B16">
        <f>1.5*(2.8+2.5+5.4)/0.13</f>
        <v>123.46153846153844</v>
      </c>
      <c r="F16">
        <f>2*11.2+4.2</f>
        <v>26.599999999999998</v>
      </c>
      <c r="G16">
        <f>2*12+7.8+2.4</f>
        <v>34.200000000000003</v>
      </c>
    </row>
    <row r="17" spans="1:7">
      <c r="A17" t="s">
        <v>28</v>
      </c>
      <c r="B17">
        <f>1.5*(6.7+6.3+5.5+5)/0.13</f>
        <v>271.15384615384613</v>
      </c>
      <c r="E17">
        <f>2*(7.3+6.6+6+5.4)+5.2+4.5+4+3.85</f>
        <v>68.149999999999991</v>
      </c>
      <c r="F17">
        <f>2*(10.8+6.3+8.6+3)+4.4+4+3.5+2.3</f>
        <v>71.600000000000009</v>
      </c>
    </row>
    <row r="18" spans="1:7">
      <c r="A18" t="s">
        <v>18</v>
      </c>
      <c r="B18">
        <f>1.5*(7+6.3+5.6+5+2.8)/0.13</f>
        <v>308.07692307692304</v>
      </c>
      <c r="F18">
        <f>2*(7.8+5.6+7+8.2)+4.5+4.8+4</f>
        <v>70.5</v>
      </c>
      <c r="G18">
        <f>2*(10.7+6.3+11.4)+3+4.5+4+3+5</f>
        <v>76.3</v>
      </c>
    </row>
    <row r="19" spans="1:7">
      <c r="B19">
        <f>1.5*(1.6+5+5.6)/0.13</f>
        <v>140.76923076923075</v>
      </c>
      <c r="E19">
        <f>2*(7+6)+3.6+4.4</f>
        <v>34</v>
      </c>
      <c r="F19">
        <f>2*(4.7+8.9+3.6+2.5)+3.7</f>
        <v>43.100000000000009</v>
      </c>
    </row>
    <row r="20" spans="1:7">
      <c r="A20" t="s">
        <v>29</v>
      </c>
      <c r="B20">
        <f>1.5*(5.4+5.4+5)/0.13</f>
        <v>182.30769230769232</v>
      </c>
      <c r="F20">
        <f>2*(5.8+5.7+5.3+5.9)+4.2+3.8+3.5+4.5</f>
        <v>61.400000000000006</v>
      </c>
      <c r="G20">
        <f>2*(8.9+5.5+8.8)+2.4+3.8+3.5+3.55</f>
        <v>59.65</v>
      </c>
    </row>
    <row r="21" spans="1:7">
      <c r="A21" t="s">
        <v>20</v>
      </c>
      <c r="B21">
        <f>1.5*(3.8+6.2+5.4+5.9)/0.13</f>
        <v>245.76923076923077</v>
      </c>
      <c r="F21">
        <f>2*(10+5.7+6.5)+4.4+4.4</f>
        <v>53.199999999999996</v>
      </c>
      <c r="G21">
        <f>2*(7.3+12+3.85)+6.3+4+3.8+2.6</f>
        <v>63</v>
      </c>
    </row>
    <row r="22" spans="1:7">
      <c r="A22" t="s">
        <v>21</v>
      </c>
      <c r="B22">
        <f>1.5*(6.2+6.2+5.3+5.3)/0.13</f>
        <v>265.38461538461536</v>
      </c>
      <c r="F22">
        <f>4.4+3.8+4.6</f>
        <v>12.799999999999999</v>
      </c>
      <c r="G22">
        <f>2*(9.7+11.6+3.9)+4*2.6+4.2+3.9+3.8+2.5*4+5*8.42+2*6.5+2*5.6+6.3*2</f>
        <v>161.59999999999997</v>
      </c>
    </row>
    <row r="23" spans="1:7">
      <c r="A23" t="s">
        <v>22</v>
      </c>
      <c r="B23">
        <f>1.5*(7.5+6+5+5.5)/0.13</f>
        <v>276.92307692307691</v>
      </c>
      <c r="F23">
        <f>4.4+3.8+4.4+2*(7.9+6.5+5.7+5.5)</f>
        <v>63.800000000000004</v>
      </c>
      <c r="G23">
        <f>2*(11.2+11.8+4.1+3.7+2*2.8)+4.7+3.8+3.8+2.8</f>
        <v>87.899999999999991</v>
      </c>
    </row>
    <row r="24" spans="1:7">
      <c r="A24" t="s">
        <v>25</v>
      </c>
      <c r="B24">
        <f>1.5*(5.2+5.5+2.5)/0.13</f>
        <v>152.30769230769229</v>
      </c>
      <c r="F24">
        <f>2*(6.1+6.8+3.3)+4.15+4.6</f>
        <v>41.15</v>
      </c>
      <c r="G24">
        <f>2*(10+4.4+4+2.7+2*3.1)+3.8</f>
        <v>58.399999999999991</v>
      </c>
    </row>
    <row r="25" spans="1:7">
      <c r="A25" t="s">
        <v>26</v>
      </c>
      <c r="B25">
        <f>1.5*(2+6+5+5.3+1.4)/0.13</f>
        <v>227.30769230769226</v>
      </c>
      <c r="F25">
        <f>2*(8.7+5.7+7.8)+4.1+3.8+4.4</f>
        <v>56.699999999999996</v>
      </c>
      <c r="G25">
        <f>2*(6.1+11.7+5.2+4.9+3*2)+3.9+3.8</f>
        <v>75.5</v>
      </c>
    </row>
    <row r="26" spans="1:7">
      <c r="A26" t="s">
        <v>24</v>
      </c>
      <c r="B26">
        <f>1.5*(2.4+6+4.2+4)/0.13</f>
        <v>191.53846153846155</v>
      </c>
      <c r="F26">
        <f>2*(9.1+4.9+5.1)+4.4</f>
        <v>42.6</v>
      </c>
      <c r="G26">
        <f>2*(6.5+8.3+5.2+5.8+2.6*2)+3.6</f>
        <v>65.599999999999994</v>
      </c>
    </row>
    <row r="27" spans="1:7">
      <c r="A27" t="s">
        <v>30</v>
      </c>
      <c r="B27">
        <f>1.5*(6+5+5.4)/0.13</f>
        <v>189.2307692307692</v>
      </c>
      <c r="G27">
        <f>2*(9.9+9.5+2*2.8+2*2.8)+3.8+3.8+2*(6.6+5.7+6.5)+4.9+3.8+4.6</f>
        <v>119.7</v>
      </c>
    </row>
    <row r="28" spans="1:7">
      <c r="A28" t="s">
        <v>31</v>
      </c>
      <c r="B28">
        <f>1.5*(4.5+6)/0.13</f>
        <v>121.15384615384615</v>
      </c>
      <c r="F28">
        <f>3.4+4.7</f>
        <v>8.1</v>
      </c>
      <c r="G28">
        <f>2*(8.6+4.7+2.2+3.6+2*3.5)+5*(5.2+7.4)</f>
        <v>115.20000000000002</v>
      </c>
    </row>
    <row r="29" spans="1:7">
      <c r="A29" t="s">
        <v>32</v>
      </c>
      <c r="B29">
        <f>1.5*(3+4+3+3+5.3)/0.13</f>
        <v>211.15384615384616</v>
      </c>
      <c r="F29">
        <f>2.6+2.5+2.4+3.2+2.9+4.6</f>
        <v>18.2</v>
      </c>
      <c r="G29">
        <f>4*(10.1+11.9)+5*(11.4+10)+4*(2+2.7)</f>
        <v>213.8</v>
      </c>
    </row>
    <row r="30" spans="1:7">
      <c r="A30" t="s">
        <v>33</v>
      </c>
      <c r="B30">
        <f>1.5*(3.6+5+3.5)/0.13</f>
        <v>139.61538461538461</v>
      </c>
      <c r="F30">
        <f>2*(4.2+10)+3.4</f>
        <v>31.799999999999997</v>
      </c>
      <c r="G30">
        <f>2*(7.3+7.3+1.9)+3.1+3.1</f>
        <v>39.200000000000003</v>
      </c>
    </row>
    <row r="31" spans="1:7">
      <c r="A31" s="11" t="s">
        <v>34</v>
      </c>
    </row>
    <row r="32" spans="1:7">
      <c r="A32" t="s">
        <v>27</v>
      </c>
      <c r="B32">
        <f>3*1.5*(6.5+6.1+5.5)/0.13</f>
        <v>626.53846153846155</v>
      </c>
      <c r="F32">
        <f>3*(2*(7.2+6.6+6)+5.2+4.5+4.4)</f>
        <v>161.10000000000002</v>
      </c>
      <c r="G32">
        <f>3*(2*(10.7+9.5)+3+4.4+4+4*2.5)</f>
        <v>185.39999999999998</v>
      </c>
    </row>
    <row r="33" spans="1:7">
      <c r="B33">
        <f>3*1.5*(4.2+2.5+2.3+5.2)/0.13</f>
        <v>491.53846153846149</v>
      </c>
      <c r="F33">
        <f>3*(2*(5.4+11.2)+4.2+4.2)</f>
        <v>124.80000000000003</v>
      </c>
      <c r="G33">
        <f>3*2*(6.1+2.3+2.3+12+7.8+2*2.4)</f>
        <v>211.79999999999998</v>
      </c>
    </row>
    <row r="34" spans="1:7">
      <c r="A34" t="s">
        <v>18</v>
      </c>
      <c r="B34">
        <f>3*1.5*(5.5+4.8+2.5)/0.13</f>
        <v>443.07692307692309</v>
      </c>
      <c r="G34">
        <f>3*(4*8.9+2*6.1+4*2.5+2*3.8+4*5.1+2*6.1+2*6.2+4.4+3.9)</f>
        <v>356.1</v>
      </c>
    </row>
    <row r="35" spans="1:7">
      <c r="B35">
        <f>3*1.5*(1.6+4.8+5.4)/0.13</f>
        <v>408.46153846153845</v>
      </c>
      <c r="F35">
        <f>3*(2*(6.9+6)+3.7+4.4)</f>
        <v>101.69999999999999</v>
      </c>
      <c r="G35">
        <f>3*(2*(4.9+8.9+3.8+3.8)+2.5)</f>
        <v>135.9</v>
      </c>
    </row>
    <row r="36" spans="1:7">
      <c r="A36" t="s">
        <v>29</v>
      </c>
      <c r="B36">
        <f>3*1.5*(5.2+4.8+5+5+4.8+5.4)/0.13</f>
        <v>1045.3846153846155</v>
      </c>
      <c r="G36">
        <f>3*(2*(8.9+5.5+10.9+8.9+2.5+6+3.6+3.5+10.7+5.7+8.9+2*2.5+11)+3.6+3.5+3.6+4.4+3.6+3.8+3.8+3.6+4.4)</f>
        <v>649.50000000000011</v>
      </c>
    </row>
    <row r="37" spans="1:7">
      <c r="A37" t="s">
        <v>21</v>
      </c>
      <c r="B37">
        <f>3*1.5*(6+6+5+5.5)/0.13</f>
        <v>778.84615384615381</v>
      </c>
      <c r="F37">
        <f>3*(2*(6.5+6.5+5.7+6.3)+4.4+3.8+4.4)</f>
        <v>187.79999999999998</v>
      </c>
      <c r="G37">
        <f>3*(2*(9.8+11.7+3.9+2.6+2.6)+4.2+3.9+3.8)</f>
        <v>219.3</v>
      </c>
    </row>
    <row r="38" spans="1:7">
      <c r="A38" t="s">
        <v>28</v>
      </c>
      <c r="B38">
        <f>3*1.5*(6.5+6+5.2+4.8+5+5)/0.13</f>
        <v>1125</v>
      </c>
      <c r="F38">
        <f>3*(2*(7.3+6.6+10.9+11.2)+4.2+3.8+3.5+4+4.5+5.2)</f>
        <v>291.60000000000002</v>
      </c>
      <c r="G38">
        <f>3*(2*(10.8+8.3+10.9+8.9+3+4+2*2.4)+3.6+3.5+3.6+4.4)</f>
        <v>349.49999999999994</v>
      </c>
    </row>
    <row r="39" spans="1:7">
      <c r="A39" t="s">
        <v>22</v>
      </c>
      <c r="B39">
        <f>3*1.5*(7.4+6+5+5)/0.13</f>
        <v>810</v>
      </c>
      <c r="F39">
        <f>3*(2*(7.9)+6.5+2*5.7+2*8.5+4.5+3.8+4.4)</f>
        <v>190.2</v>
      </c>
      <c r="G39">
        <f>3*(2*(2*11.2+11.7+4.1+3.9+2.8)+4.7+3.9+3.8)</f>
        <v>306.59999999999997</v>
      </c>
    </row>
    <row r="40" spans="1:7">
      <c r="A40" t="s">
        <v>26</v>
      </c>
      <c r="B40">
        <f>3*1.5*(2+6+5+5.5+1.2)/0.13</f>
        <v>681.92307692307679</v>
      </c>
      <c r="F40">
        <f>3*(2*(8.9+5.7+7.9)+4.9+3.8+4.6)</f>
        <v>174.89999999999998</v>
      </c>
      <c r="G40">
        <f>3*(2*(6+11.7+5.2+4.9+2*3.1)+3.9+3.8)</f>
        <v>227.10000000000002</v>
      </c>
    </row>
    <row r="41" spans="1:7">
      <c r="A41" t="s">
        <v>30</v>
      </c>
      <c r="B41">
        <f>3*1.5*(6+5+5.5)/0.13</f>
        <v>571.15384615384619</v>
      </c>
      <c r="F41">
        <f>3*((2*6.7+5.9+6.5)+4.9+3.8+4.6)</f>
        <v>117.30000000000001</v>
      </c>
      <c r="G41">
        <f>3*(2*(9.7+4.1+2.8+2.8)+3.9+3.8)</f>
        <v>139.49999999999997</v>
      </c>
    </row>
    <row r="42" spans="1:7">
      <c r="A42" t="s">
        <v>25</v>
      </c>
      <c r="B42">
        <f>3*1.5*(5+5.5)/0.13</f>
        <v>363.46153846153845</v>
      </c>
      <c r="E42">
        <f>3*(2*(6.2+7)+4.2+4.6)</f>
        <v>105.6</v>
      </c>
      <c r="F42">
        <f>3*((2*9.5+4.2+2*2.7)+3.8+3.1)</f>
        <v>106.5</v>
      </c>
    </row>
    <row r="43" spans="1:7">
      <c r="A43" t="s">
        <v>35</v>
      </c>
      <c r="B43">
        <f>6*(8/0.13)</f>
        <v>369.23076923076917</v>
      </c>
      <c r="F43">
        <f>6*(2*9.1+6.9)</f>
        <v>150.60000000000002</v>
      </c>
      <c r="G43">
        <f>6*(2*(9.8+3.5+2*3.7))</f>
        <v>248.40000000000003</v>
      </c>
    </row>
    <row r="44" spans="1:7">
      <c r="B44">
        <f>6*1.5*(3.5/0.13)</f>
        <v>242.30769230769232</v>
      </c>
      <c r="F44">
        <f>6*(2*5.1)</f>
        <v>61.199999999999996</v>
      </c>
      <c r="G44">
        <f>6*(2*(5.8+2*1.9+2*2.6))</f>
        <v>177.60000000000002</v>
      </c>
    </row>
    <row r="45" spans="1:7">
      <c r="A45" t="s">
        <v>25</v>
      </c>
      <c r="B45">
        <f>3*1.5*(4/0.13)</f>
        <v>138.46153846153845</v>
      </c>
      <c r="F45">
        <f>3*(2*5.1)</f>
        <v>30.599999999999998</v>
      </c>
      <c r="G45">
        <f>3*(2*5.8+2.4+1.9*2)</f>
        <v>53.400000000000006</v>
      </c>
    </row>
    <row r="46" spans="1:7">
      <c r="A46" t="s">
        <v>36</v>
      </c>
      <c r="B46">
        <f>3*(6+5+5.5+3.5)/0.13</f>
        <v>461.53846153846155</v>
      </c>
      <c r="E46">
        <f>3*(2*4.3)</f>
        <v>25.799999999999997</v>
      </c>
      <c r="F46">
        <f>3*(2*(11.7+3.9+4.9+3.9+3.8+2.6+6.8+5.7+6.3)+4.4+3.8+4.6)</f>
        <v>336</v>
      </c>
      <c r="G46">
        <f>3*(2*(3.8+2*2.9))</f>
        <v>57.599999999999994</v>
      </c>
    </row>
    <row r="47" spans="1:7">
      <c r="A47" t="s">
        <v>37</v>
      </c>
      <c r="B47">
        <f>6*1.5*(4.4+5.8)/0.13</f>
        <v>706.15384615384608</v>
      </c>
      <c r="F47">
        <f>6*(2*(3.6+3.4+4.6))</f>
        <v>139.19999999999999</v>
      </c>
      <c r="G47">
        <f>6*(4*(8.4+4.5+2.2+3.5)+5*(5+7.2))</f>
        <v>812.40000000000009</v>
      </c>
    </row>
    <row r="48" spans="1:7">
      <c r="A48" t="s">
        <v>32</v>
      </c>
      <c r="B48">
        <f>3*(3+3.8+3+3+5.5+4.2+5)/0.13</f>
        <v>634.61538461538464</v>
      </c>
      <c r="F48">
        <f>3*(2*(11.4+9.7+10.4)+4.2+3.3+4.6+2.9)</f>
        <v>234</v>
      </c>
      <c r="G48">
        <f>3*(2*(10.1+8.4+5.5+2+8.6+2*2.5)+3.3+3.2+2.4+2.5+2.6)</f>
        <v>279.60000000000002</v>
      </c>
    </row>
    <row r="49" spans="1:8">
      <c r="A49" t="s">
        <v>33</v>
      </c>
      <c r="B49">
        <f>3*(3.4+5+3.4)/0.13</f>
        <v>272.30769230769232</v>
      </c>
      <c r="F49">
        <f>3*(2*(4.2+9.6)+3.8)</f>
        <v>94.2</v>
      </c>
      <c r="G49">
        <f>3*(2*(7.2+7.3+1.9+1.9)+3.1+3.1)</f>
        <v>128.39999999999998</v>
      </c>
    </row>
    <row r="50" spans="1:8">
      <c r="A50" t="s">
        <v>38</v>
      </c>
    </row>
    <row r="51" spans="1:8">
      <c r="A51" t="s">
        <v>29</v>
      </c>
      <c r="B51">
        <f>6*1.5*(5.2+4.8+5+5+4.8+5.4)/0.13</f>
        <v>2090.7692307692309</v>
      </c>
      <c r="G51">
        <f>6*(2*(8.9+5.5+10.9+8.9+2.5+6+3.6+3.5+10.7+5.7+8.9+2*2.5+11)+3.6+3.5+3.6+4.4+3.6+3.8+3.8+3.6+4.4)</f>
        <v>1299.0000000000002</v>
      </c>
    </row>
    <row r="52" spans="1:8">
      <c r="A52" t="s">
        <v>18</v>
      </c>
      <c r="B52">
        <f>6*1.5*(5.5+4.8+2.5)/0.13</f>
        <v>886.15384615384619</v>
      </c>
      <c r="G52">
        <f>6*(4*8.9+2*6.1+4*2.5+2*3.8+4*5.1+2*6.1+2*6.2+4.4+3.9)</f>
        <v>712.2</v>
      </c>
    </row>
    <row r="53" spans="1:8">
      <c r="B53">
        <f>6*1.5*(1.6+4.8+5.4)/0.13</f>
        <v>816.92307692307691</v>
      </c>
      <c r="F53">
        <f>6*(2*(6.9+6)+3.7+4.4)</f>
        <v>203.39999999999998</v>
      </c>
      <c r="G53">
        <f>6*(2*(4.9+8.9+3.8+3.8)+2.5)</f>
        <v>271.8</v>
      </c>
    </row>
    <row r="54" spans="1:8">
      <c r="A54" t="s">
        <v>27</v>
      </c>
      <c r="B54">
        <f>6*1.5*(2.4+2.5+4.2)/0.13</f>
        <v>630</v>
      </c>
      <c r="F54">
        <f>3*(2*(12)+4.2)</f>
        <v>84.6</v>
      </c>
      <c r="G54">
        <f>3*(2*(12+2*7.8+2*2.4))</f>
        <v>194.39999999999998</v>
      </c>
    </row>
    <row r="55" spans="1:8">
      <c r="A55" t="s">
        <v>30</v>
      </c>
      <c r="B55">
        <f>6*1.5*(6+5+5.5)/0.13</f>
        <v>1142.3076923076924</v>
      </c>
      <c r="F55">
        <f>6*((2*6.7+2*5.7+2*6.5)+4.9+3.8+4.6)</f>
        <v>306.59999999999997</v>
      </c>
      <c r="G55">
        <f>6*(2*(9.7+9.5+2*2.8+2*2.8)+3.9+3.8)</f>
        <v>411</v>
      </c>
    </row>
    <row r="56" spans="1:8">
      <c r="A56" t="s">
        <v>22</v>
      </c>
      <c r="B56">
        <f>6*1.5*(6+5+5)/0.13</f>
        <v>1107.6923076923076</v>
      </c>
      <c r="F56">
        <f>6*(2*(6.9+5.7+6.5)+3.9+3.8+4.9+3.8+4.6)</f>
        <v>355.2</v>
      </c>
      <c r="G56">
        <f>6*(2*(9.7+4.1+2.8+2.8))</f>
        <v>232.79999999999998</v>
      </c>
    </row>
    <row r="57" spans="1:8">
      <c r="A57" t="s">
        <v>39</v>
      </c>
      <c r="B57">
        <f>12*1.5*(6+5+5.5+1.2)/0.13</f>
        <v>2450.7692307692305</v>
      </c>
      <c r="F57">
        <f>3*(2*(7.8+5.7+7.9)+4.9+3.8+4.6)</f>
        <v>168.29999999999998</v>
      </c>
      <c r="G57">
        <f>12*(2*(5+11.7+5.2+3.8+2*3.1)+3.9+3.8)</f>
        <v>858</v>
      </c>
    </row>
    <row r="58" spans="1:8">
      <c r="A58" t="s">
        <v>24</v>
      </c>
      <c r="B58">
        <f>6*((2.4+6+4)/0.13)</f>
        <v>572.30769230769238</v>
      </c>
      <c r="F58">
        <f>6*(2*(9.1+4.7)+4.4)</f>
        <v>192</v>
      </c>
      <c r="G58">
        <f>6*(2*(6.5+8.3+5.2+2)+3.6)</f>
        <v>285.60000000000002</v>
      </c>
    </row>
    <row r="59" spans="1:8">
      <c r="B59">
        <f>6*(4/0.13)</f>
        <v>184.61538461538458</v>
      </c>
      <c r="G59">
        <f>6*(2*5.8+5.1+2*2+2*2.6)</f>
        <v>155.39999999999998</v>
      </c>
    </row>
    <row r="60" spans="1:8">
      <c r="A60" t="s">
        <v>31</v>
      </c>
      <c r="B60">
        <f>12*1.5*(4.4+5.8)/0.13</f>
        <v>1412.3076923076922</v>
      </c>
      <c r="F60">
        <f>12*(2*(3.6+3.4+4.6))</f>
        <v>278.39999999999998</v>
      </c>
      <c r="G60">
        <f>12*(4*(8.4+4.5+2.2+3.5)+5*(5+7.2))</f>
        <v>1624.8000000000002</v>
      </c>
    </row>
    <row r="61" spans="1:8">
      <c r="A61" t="s">
        <v>32</v>
      </c>
      <c r="B61">
        <f>6*(6+4+3+5.5+4.2+5)/0.13</f>
        <v>1278.4615384615383</v>
      </c>
      <c r="F61">
        <f>3*(2*(11.4+9.7+10.4)+4.2+3.3+4.6+2.9)</f>
        <v>234</v>
      </c>
      <c r="G61">
        <f>6*(2*(4.3+8+11.2+8+4.6+2*3.5+3.6+2*3.4)+3.4+3.7+3.4+3.6)</f>
        <v>726.6</v>
      </c>
    </row>
    <row r="62" spans="1:8">
      <c r="A62" t="s">
        <v>40</v>
      </c>
      <c r="B62">
        <f>12*(3.4+5+3.4)/0.13</f>
        <v>1089.2307692307693</v>
      </c>
      <c r="F62">
        <f>12*(2*(4.2+9.6)+3.8)</f>
        <v>376.8</v>
      </c>
      <c r="G62">
        <f>12*(2*(7.2+7.3+1.9+1.9)+3.1+3.1)</f>
        <v>513.59999999999991</v>
      </c>
    </row>
    <row r="63" spans="1:8" s="11" customFormat="1">
      <c r="A63" s="11" t="s">
        <v>41</v>
      </c>
      <c r="B63" s="11">
        <f>SUM(B2:B62)</f>
        <v>28833.680769230767</v>
      </c>
      <c r="C63" s="11">
        <f t="shared" ref="C63:H63" si="0">SUM(C2:C62)</f>
        <v>0</v>
      </c>
      <c r="D63" s="11">
        <f t="shared" si="0"/>
        <v>0</v>
      </c>
      <c r="E63" s="11">
        <f t="shared" si="0"/>
        <v>1118.3799999999999</v>
      </c>
      <c r="F63" s="11">
        <f t="shared" si="0"/>
        <v>5397.95</v>
      </c>
      <c r="G63" s="11">
        <f t="shared" si="0"/>
        <v>13116.55</v>
      </c>
      <c r="H63" s="11">
        <f t="shared" si="0"/>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Cover Page</vt:lpstr>
      <vt:lpstr>preamble to BOQ</vt:lpstr>
      <vt:lpstr>Summary</vt:lpstr>
      <vt:lpstr>BOQ</vt:lpstr>
      <vt:lpstr>TO-1</vt:lpstr>
      <vt:lpstr>Rebar</vt:lpstr>
      <vt:lpstr>BOQ!Print_Area</vt:lpstr>
      <vt:lpstr>'Cover Page'!Print_Area</vt:lpstr>
      <vt:lpstr>'preamble to BOQ'!Print_Area</vt:lpstr>
      <vt:lpstr>Summary!Print_Area</vt:lpstr>
      <vt:lpstr>BOQ!Print_Titles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HP</cp:lastModifiedBy>
  <cp:lastPrinted>2024-09-18T10:42:17Z</cp:lastPrinted>
  <dcterms:created xsi:type="dcterms:W3CDTF">2013-05-22T17:33:18Z</dcterms:created>
  <dcterms:modified xsi:type="dcterms:W3CDTF">2025-05-01T10:31:14Z</dcterms:modified>
</cp:coreProperties>
</file>