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504" windowWidth="15924" windowHeight="13176" tabRatio="670" activeTab="3"/>
  </bookViews>
  <sheets>
    <sheet name="Cover Page" sheetId="41" r:id="rId1"/>
    <sheet name="preamble to BOQ" sheetId="42" r:id="rId2"/>
    <sheet name="Summary" sheetId="21" r:id="rId3"/>
    <sheet name="BOQ" sheetId="20" r:id="rId4"/>
    <sheet name="MECH" sheetId="43" r:id="rId5"/>
    <sheet name="Rebar" sheetId="29"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hfsjhfsfjfjfj">'[4]05 Ar &amp; St'!#REF!</definedName>
    <definedName name="_____con25">#REF!</definedName>
    <definedName name="____dim03670">#REF!</definedName>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A12281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A122816">#REF!</definedName>
    <definedName name="__con25">#REF!</definedName>
    <definedName name="__dim03670">#REF!</definedName>
    <definedName name="__flr2">'[1] L -1  sub R-bar for 200Kpa '!$G$1:$G$65536</definedName>
    <definedName name="__gip1">#REF!</definedName>
    <definedName name="__gip2">#REF!</definedName>
    <definedName name="__hcb20">#REF!</definedName>
    <definedName name="__len2">'[1] L -1  sub R-bar for 200Kpa '!$F$1:$F$65536</definedName>
    <definedName name="__mbr2">'[1] L -1  sub R-bar for 200Kpa '!$H$1:$H$65536</definedName>
    <definedName name="__rbr2">'[1] L -1  sub R-bar for 200Kpa '!$I$1:$I$65536</definedName>
    <definedName name="__snf300250">#REF!</definedName>
    <definedName name="__tms118">#REF!</definedName>
    <definedName name="__tms136">#REF!</definedName>
    <definedName name="__tms236">#REF!</definedName>
    <definedName name="__tmw065136">#REF!</definedName>
    <definedName name="_A122816">#REF!</definedName>
    <definedName name="_con25">#REF!</definedName>
    <definedName name="_dim03670">#REF!</definedName>
    <definedName name="_Flr1">'[2]RHS and Lattice purline A-2'!$G$1:$G$65536</definedName>
    <definedName name="_flr2">'[3] L -1  sub R-bar for 200Kpa '!$G$1:$G$65536</definedName>
    <definedName name="_gip1">#REF!</definedName>
    <definedName name="_gip2">#REF!</definedName>
    <definedName name="_hcb20">#REF!</definedName>
    <definedName name="_len2">'[3] L -1  sub R-bar for 200Kpa '!$F$1:$F$65536</definedName>
    <definedName name="_MatInverse_In" hidden="1">#REF!</definedName>
    <definedName name="_mbr1">'[2]RHS and Lattice purline A-2'!$H$1:$H$65536</definedName>
    <definedName name="_mbr2">'[3] L -1  sub R-bar for 200Kpa '!$H$1:$H$65536</definedName>
    <definedName name="_Order1" hidden="1">255</definedName>
    <definedName name="_rbr2">'[3] L -1  sub R-bar for 200Kpa '!$I$1:$I$65536</definedName>
    <definedName name="_snf300250">#REF!</definedName>
    <definedName name="_tms118">#REF!</definedName>
    <definedName name="_tms136">#REF!</definedName>
    <definedName name="_tms236">#REF!</definedName>
    <definedName name="_tmw065136">#REF!</definedName>
    <definedName name="a">#REF!</definedName>
    <definedName name="aaaa">#REF!</definedName>
    <definedName name="aaaaa">#REF!</definedName>
    <definedName name="aaaaaaaa">#REF!</definedName>
    <definedName name="ABC">#REF!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40a3p2">#REF!</definedName>
    <definedName name="acb50a1p">#REF!</definedName>
    <definedName name="acb50a3p">#REF!</definedName>
    <definedName name="acb63a1p">#REF!</definedName>
    <definedName name="acb63a3p">#REF!</definedName>
    <definedName name="acb6a1p">#REF!</definedName>
    <definedName name="acb6a3p">#REF!</definedName>
    <definedName name="Advance_Repay">#REF!</definedName>
    <definedName name="afdaf">#REF!</definedName>
    <definedName name="airterminal1">#REF!</definedName>
    <definedName name="analyses">#REF!</definedName>
    <definedName name="asdgadg">#REF!</definedName>
    <definedName name="asfgas">#REF!</definedName>
    <definedName name="b">#REF!</definedName>
    <definedName name="bbbbb">#REF!</definedName>
    <definedName name="bbbbbbbb">#REF!</definedName>
    <definedName name="bbbbbbbbbbbbbbbb">#REF!</definedName>
    <definedName name="Beg_Bal">#REF!</definedName>
    <definedName name="bell">#REF!</definedName>
    <definedName name="bellcallpoint">#REF!</definedName>
    <definedName name="belltransformer">#REF!</definedName>
    <definedName name="bill">#REF!</definedName>
    <definedName name="block_range">'[4]A-2 blcok work Res.'!$A$1:$E$65536</definedName>
    <definedName name="Block_Summary">#REF!</definedName>
    <definedName name="Block_total">'[5]Ar &amp; St'!$M$46</definedName>
    <definedName name="Block_Work">'[4]05 Ar &amp; St'!#REF!</definedName>
    <definedName name="Block_work_range">'[6]E-1 Block Work Residence'!$A$1:$F$65536</definedName>
    <definedName name="Block_work_total">'[4]05 Ar &amp; St'!$M$49</definedName>
    <definedName name="boq">#REF!</definedName>
    <definedName name="buzzer">#REF!</definedName>
    <definedName name="bvvhjh">#REF!</definedName>
    <definedName name="CABLE">[7]price!$G$51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cc">#REF!</definedName>
    <definedName name="ceiling">#REF!</definedName>
    <definedName name="ceilingglobe">#REF!</definedName>
    <definedName name="cemic">#REF!</definedName>
    <definedName name="cisheet">#REF!</definedName>
    <definedName name="Column_Info">#REF!</definedName>
    <definedName name="Concrete_total">'[8] Ar &amp; St'!$M$39</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_QTY">#REF!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ntQTYsb">'[4]05 Sub Structure BC = 300'!$F$1:$F$65536</definedName>
    <definedName name="ContQTYsp">'[4]05 Ar &amp; St'!$F$1:$F$65536</definedName>
    <definedName name="ContQTYspr">'[9]Super BOQ'!$F:$F</definedName>
    <definedName name="coppertape25x3">#REF!</definedName>
    <definedName name="Cum_Int">#REF!</definedName>
    <definedName name="curt_qty_sub">'[10]Sub Structure BC = 300'!$I$1:$I$65536</definedName>
    <definedName name="curt_qty_subs">#REF!</definedName>
    <definedName name="CurtAMTsb">'[4]05 Sub Structure BC = 300'!$L$1:$L$65536</definedName>
    <definedName name="CurtAMTspr">'[4]05 Ar &amp; St'!$L$1:$L$65536</definedName>
    <definedName name="CurtAmtsub2">#REF!</definedName>
    <definedName name="CurtQTYsb">'[4]05 Sub Structure BC = 300'!$I$1:$I$65536</definedName>
    <definedName name="CurtQTYspr">'[4]05 Ar &amp; St'!$I$1:$I$65536</definedName>
    <definedName name="CurtQtysub2">#REF!</definedName>
    <definedName name="czdczc">#REF!</definedName>
    <definedName name="d">'[11] analysis'!$J$64</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dd">#REF!</definedName>
    <definedName name="dddddddd">#REF!</definedName>
    <definedName name="ddsss">#REF!</definedName>
    <definedName name="Depth_of_Bulk">'[12]Solomon Weldu A2,E1-FevV'!#REF!</definedName>
    <definedName name="df">#REF!</definedName>
    <definedName name="Dia">#REF!</definedName>
    <definedName name="dilla1">#REF!</definedName>
    <definedName name="dimmerswitch1200w">#REF!</definedName>
    <definedName name="dimmerswitch2000w">#REF!</definedName>
    <definedName name="dimmerswitch300w">#REF!</definedName>
    <definedName name="Door">'[13]Windows and Doors'!$A$5:$Y$10</definedName>
    <definedName name="doorswitchpoint">#REF!</definedName>
    <definedName name="doubleswitch">#REF!</definedName>
    <definedName name="doubletwowayswitch">#REF!</definedName>
    <definedName name="e">'[11] analysis'!$J$64</definedName>
    <definedName name="Earth_W">#REF!</definedName>
    <definedName name="Earth_work">'[4]05 Sub Structure BC = 300'!$M$24</definedName>
    <definedName name="earthrod1200x16">#REF!</definedName>
    <definedName name="earthrod2400x16">#REF!</definedName>
    <definedName name="eeeee">#REF!</definedName>
    <definedName name="eere343">#REF!</definedName>
    <definedName name="End_Bal">#REF!</definedName>
    <definedName name="Equip">'[14]Equipment data'!$B$9:$B$31</definedName>
    <definedName name="ergerh">#REF!</definedName>
    <definedName name="Excavation">'[15] E2 Res (EXC&amp;MAS200kp)'!$A$1:$E$65536</definedName>
    <definedName name="Extra_Pay">#REF!</definedName>
    <definedName name="F">'[9]Supr Rebar'!$G:$G</definedName>
    <definedName name="fasdf">'[13]BOQ Ar &amp; St'!$F$1:$F$65536</definedName>
    <definedName name="fefeef">'[4]05 RB A-2 300kp Res. Sub St.'!#REF!</definedName>
    <definedName name="fffff">#REF!</definedName>
    <definedName name="ffffff">#REF!</definedName>
    <definedName name="ffffffffffffffff">#REF!</definedName>
    <definedName name="ffsfssfsg">#REF!</definedName>
    <definedName name="ffsgsg">#REF!</definedName>
    <definedName name="fhjf">#REF!</definedName>
    <definedName name="ficotp">#REF!</definedName>
    <definedName name="Finishing">'[4]05 Ar &amp; St'!#REF!</definedName>
    <definedName name="Finishing_60">'[16]05 A-2 300kp Res. Sup St.'!$A$1:$F$65536</definedName>
    <definedName name="Finishing_range">#REF!</definedName>
    <definedName name="Finishing_total">#REF!</definedName>
    <definedName name="Finisning_total">'[5]Ar &amp; St'!#REF!</definedName>
    <definedName name="firealarmcontrolpanel">#REF!</definedName>
    <definedName name="floatswitch">#REF!</definedName>
    <definedName name="floorbox">#REF!</definedName>
    <definedName name="flortil">#REF!</definedName>
    <definedName name="Flr">'[13]Sub-Structure Rein'!$G$1:$G$65536</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oting_Type1">#REF!</definedName>
    <definedName name="formw">#REF!</definedName>
    <definedName name="fr">'[17] Rebar. C '!$G$8:$G$64988</definedName>
    <definedName name="ftt">#REF!</definedName>
    <definedName name="Full_Print">#REF!</definedName>
    <definedName name="fusedswitch125a3p">#REF!</definedName>
    <definedName name="fusedswitch250a3p">#REF!</definedName>
    <definedName name="fusedswitch4003p">#REF!</definedName>
    <definedName name="fusedswitch630a3p">#REF!</definedName>
    <definedName name="fusedswitch63a3p">#REF!</definedName>
    <definedName name="g">#REF!</definedName>
    <definedName name="gddhdhdh">#REF!</definedName>
    <definedName name="gegege">#REF!</definedName>
    <definedName name="GFG">#REF!</definedName>
    <definedName name="gfgfgfgfh">#REF!</definedName>
    <definedName name="gg">#REF!</definedName>
    <definedName name="ggggg">'[17]Block A Rebar'!$F$8:$F$65276</definedName>
    <definedName name="gggggg">'[17]Block A Rebar'!$F$8:$F$65283</definedName>
    <definedName name="gggggggggggg">#REF!</definedName>
    <definedName name="gh">#REF!</definedName>
    <definedName name="ghg">#REF!</definedName>
    <definedName name="GINSHO">#REF!</definedName>
    <definedName name="gip0.5">#REF!</definedName>
    <definedName name="gip0.75">#REF!</definedName>
    <definedName name="glaz">#REF!</definedName>
    <definedName name="glz">'[18]A2 for above 3rd floor'!$G$140</definedName>
    <definedName name="gslabc20">#REF!</definedName>
    <definedName name="h">#REF!</definedName>
    <definedName name="hard">#REF!</definedName>
    <definedName name="Header_Row">ROW(#REF!)</definedName>
    <definedName name="Height_b_n_FFL_and_Bottom_of_Pit1">#REF!</definedName>
    <definedName name="Height_b_n_Profile_and_Bottom_of_Pit1">#REF!</definedName>
    <definedName name="Height_b_n_Profile_and_FFL1">#REF!</definedName>
    <definedName name="Height_b_n_Profile_and_NGL1">#REF!</definedName>
    <definedName name="Height_b_n_Profile_and_RGL1">#REF!</definedName>
    <definedName name="hfhfgh">#REF!</definedName>
    <definedName name="hfhfhfhff">#REF!</definedName>
    <definedName name="hfhfhhf">#REF!</definedName>
    <definedName name="hfjdfhjkahfkaj">#REF!</definedName>
    <definedName name="hghgh">#REF!</definedName>
    <definedName name="hh">#REF!</definedName>
    <definedName name="hhg_bcgf">'[4]05 Ar &amp; St'!#REF!</definedName>
    <definedName name="hhh">#REF!</definedName>
    <definedName name="hhhh">#REF!</definedName>
    <definedName name="hhhhh">#REF!</definedName>
    <definedName name="hhhhhh">'[17]Block A Rebar'!$H$8:$H$65275</definedName>
    <definedName name="hhjkljkljljklj">#REF!</definedName>
    <definedName name="hilina">#REF!</definedName>
    <definedName name="hjcgj">'[17]Block A Rebar'!$F$8:$F$66161</definedName>
    <definedName name="hjfhjfhjfjh">#REF!</definedName>
    <definedName name="hjgfnsdfd">#REF!</definedName>
    <definedName name="Int">#REF!</definedName>
    <definedName name="Interest_Rate">#REF!</definedName>
    <definedName name="intermediateswitch">#REF!</definedName>
    <definedName name="international">#REF!</definedName>
    <definedName name="jfhjfjhjf">#REF!</definedName>
    <definedName name="jfhjhfjhfjhj">#REF!</definedName>
    <definedName name="jfjfhh">#REF!</definedName>
    <definedName name="jgjgjgj">'[17]Block A Rebar'!$F$8:$F$66053</definedName>
    <definedName name="jhfhhffhd">'[4]05 Ar &amp; St'!#REF!</definedName>
    <definedName name="jjj">#REF!</definedName>
    <definedName name="jjjkjkj">#REF!</definedName>
    <definedName name="jkkkk">#REF!</definedName>
    <definedName name="jnry">'[18]A2 for above 3rd floor'!$G$56</definedName>
    <definedName name="Joinery">'[4]05 Ar &amp; St'!#REF!</definedName>
    <definedName name="jtvjbkn">#REF!</definedName>
    <definedName name="KASSAYE">#REF!</definedName>
    <definedName name="kk">#REF!</definedName>
    <definedName name="kkk">#REF!</definedName>
    <definedName name="kkkkk">'[12]Solomon Weldu A2,E1-FevV'!#REF!</definedName>
    <definedName name="kkkkkk">'[19]Sub Structure BC = 200'!#REF!</definedName>
    <definedName name="KWH32A1P">#REF!</definedName>
    <definedName name="kwh63a1p">#REF!</definedName>
    <definedName name="KWH63A3P">#REF!</definedName>
    <definedName name="Landscaping">'[4]05 Ar &amp; St'!#REF!</definedName>
    <definedName name="Last_Row">IF(Values_Entered,Header_Row+Number_of_Payments,Header_Row)</definedName>
    <definedName name="latch">#REF!</definedName>
    <definedName name="ldsp">'[18]A2 for above 3rd floor'!$G$145</definedName>
    <definedName name="Length">'[13]Sub-Structure Rein'!$F$1:$F$65536</definedName>
    <definedName name="length1">'[2]RHS and Lattice purline A-2'!$F$1:$F$65536</definedName>
    <definedName name="lightpoint">#REF!</definedName>
    <definedName name="llll">#REF!</definedName>
    <definedName name="lllllll">#REF!</definedName>
    <definedName name="LNG">'[9]Supr Rebar'!$F:$F</definedName>
    <definedName name="Loan_Amount">#REF!</definedName>
    <definedName name="Loan_Start">#REF!</definedName>
    <definedName name="Loan_Years">#REF!</definedName>
    <definedName name="lot">#REF!</definedName>
    <definedName name="M">'[9]Supr Rebar'!$H:$H</definedName>
    <definedName name="masa">#REF!</definedName>
    <definedName name="masb">#REF!</definedName>
    <definedName name="Masonry_Work">'[4]05 Sub Structure BC = 300'!$M$62</definedName>
    <definedName name="Mbr">'[13]Sub-Structure Rein'!$H$1:$H$65536</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etal_Work">'[4]05 Ar &amp; St'!#REF!</definedName>
    <definedName name="MEWD">#REF!</definedName>
    <definedName name="mh">'[4]05 Ar &amp; St'!#REF!</definedName>
    <definedName name="mmm">#REF!</definedName>
    <definedName name="mmmmmm">#REF!</definedName>
    <definedName name="movement_sensor">#REF!</definedName>
    <definedName name="MR">'[20]communal sub r-bar'!$H$1:$H$65536</definedName>
    <definedName name="mtl">'[18]A2 for above 3rd floor'!$G$74</definedName>
    <definedName name="nbnnnb">#REF!</definedName>
    <definedName name="new">'[21] analysis'!$J$64</definedName>
    <definedName name="NEWR">'[21] analysis'!$J$64</definedName>
    <definedName name="nnbnbnbnbc">#REF!</definedName>
    <definedName name="nnnnc">#REF!</definedName>
    <definedName name="nnnnnn">'[4]05 Ar &amp; St'!#REF!</definedName>
    <definedName name="Num_Pmt_Per_Year">#REF!</definedName>
    <definedName name="Number_of_Payments">MATCH(0.01,End_Bal,-1)+1</definedName>
    <definedName name="nvnvnvnv">#REF!</definedName>
    <definedName name="pacific095136">#REF!</definedName>
    <definedName name="pacific095236">#REF!</definedName>
    <definedName name="paint">#REF!</definedName>
    <definedName name="Pay_Date">#REF!</definedName>
    <definedName name="Pay_Num">#REF!</definedName>
    <definedName name="Payment_Date" localSheetId="4">DATE(YEAR([0]!Loan_Start),MONTH([0]!Loan_Start)+Payment_Number,DAY([0]!Loan_Start))</definedName>
    <definedName name="Payment_Date">DATE(YEAR(Loan_Start),MONTH(Loan_Start)+Payment_Number,DAY(Loan_Start))</definedName>
    <definedName name="photocell">#REF!</definedName>
    <definedName name="plate_range">#REF!</definedName>
    <definedName name="Plates">#REF!</definedName>
    <definedName name="pnt">'[18]A2 for above 3rd floor'!$G$134</definedName>
    <definedName name="po">#REF!</definedName>
    <definedName name="point">#REF!</definedName>
    <definedName name="POOOOOOOO">#REF!</definedName>
    <definedName name="poouuuuuuuuu">#REF!</definedName>
    <definedName name="potyyyy">#REF!</definedName>
    <definedName name="poweroutlet25a1p3x6">#REF!</definedName>
    <definedName name="poweroutlet25a3p4x6">#REF!</definedName>
    <definedName name="prev_qty_sup">'[22] Ar &amp; St'!$H$1:$H$65536</definedName>
    <definedName name="prev_qy_sub">'[10]Sub Structure BC = 300'!$H$1:$H$65536</definedName>
    <definedName name="PrevAMTsb">'[4]05 Sub Structure BC = 300'!$K$1:$K$65536</definedName>
    <definedName name="PrevAMTspr">'[4]05 Ar &amp; St'!$K$1:$K$65536</definedName>
    <definedName name="PrevAmtSub2">#REF!</definedName>
    <definedName name="preventorp1">#REF!</definedName>
    <definedName name="preventorp2">#REF!</definedName>
    <definedName name="preventorp3">#REF!</definedName>
    <definedName name="preventorp4">#REF!</definedName>
    <definedName name="prevqty2">#REF!</definedName>
    <definedName name="PrevQTYsb">'[4]05 Sub Structure BC = 300'!$H$1:$H$65536</definedName>
    <definedName name="PrevQTYsb2">#REF!</definedName>
    <definedName name="PrevQTYspr">'[4]05 Ar &amp; St'!$H$1:$H$65536</definedName>
    <definedName name="PrevQtysub2">#REF!</definedName>
    <definedName name="Princ">#REF!</definedName>
    <definedName name="_xlnm.Print_Area" localSheetId="3">BOQ!$A$1:$F$212</definedName>
    <definedName name="_xlnm.Print_Area" localSheetId="0">'Cover Page'!$A$1:$J$42</definedName>
    <definedName name="_xlnm.Print_Area" localSheetId="4">MECH!$A$1:$F$11</definedName>
    <definedName name="_xlnm.Print_Area" localSheetId="1">'preamble to BOQ'!$A$1:$A$41</definedName>
    <definedName name="_xlnm.Print_Area" localSheetId="2">Summary!$A$1:$C$32</definedName>
    <definedName name="Print_Area_Reset">OFFSET(Full_Print,0,0,Last_Row)</definedName>
    <definedName name="_xlnm.Print_Titles" localSheetId="3">BOQ!$2:$2</definedName>
    <definedName name="_xlnm.Print_Titles" localSheetId="4">MECH!$2:$2</definedName>
    <definedName name="ptli">#REF!</definedName>
    <definedName name="pvcconductor1.5">#REF!</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#REF!</definedName>
    <definedName name="rahel">#REF!</definedName>
    <definedName name="Ratesb">'[4]05 Sub Structure BC = 300'!$E$1:$E$65536</definedName>
    <definedName name="Ratesp">'[4]05 Ar &amp; St'!$E$1:$E$65536</definedName>
    <definedName name="RB">'[9]Supr Rebar'!$I:$I</definedName>
    <definedName name="Rbar1">'[2]RHS and Lattice purline A-2'!$I$1:$I$65536</definedName>
    <definedName name="Rbr">'[13]Sub-Structure Rein'!$I$1:$I$65536</definedName>
    <definedName name="rei">#REF!</definedName>
    <definedName name="rende">#REF!</definedName>
    <definedName name="Reside">#REF!</definedName>
    <definedName name="rf">'[18]A2 for above 3rd floor'!$G$49</definedName>
    <definedName name="RFT">'[4]05 Ar &amp; St'!#REF!</definedName>
    <definedName name="rhsprofile">#REF!</definedName>
    <definedName name="roofing_range">[10]Roofing!$A$1:$F$65536</definedName>
    <definedName name="Roofing_total">#REF!</definedName>
    <definedName name="s">#REF!</definedName>
    <definedName name="SALI_REMOTE">#REF!</definedName>
    <definedName name="sat_tv_fm">#REF!</definedName>
    <definedName name="sat_tv_fm_l">#REF!</definedName>
    <definedName name="sat_tv_fm_t">#REF!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#REF!</definedName>
    <definedName name="Sched_Pay">#REF!</definedName>
    <definedName name="Scheduled_Extra_Payments">#REF!</definedName>
    <definedName name="Scheduled_Interest_Rate">#REF!</definedName>
    <definedName name="Scheduled_Monthly_Payment">#REF!</definedName>
    <definedName name="screed">#REF!</definedName>
    <definedName name="sene">#REF!</definedName>
    <definedName name="SERVICE">#REF!</definedName>
    <definedName name="sfa">'[24]05 A-2 300kp Shop Sup St.'!$A$1:$F$65536</definedName>
    <definedName name="sfgasg">#REF!</definedName>
    <definedName name="sFlr">'[25]05 RB A-2 300kp Shop Sub St.'!$G$1:$G$65536</definedName>
    <definedName name="singleswitch">#REF!</definedName>
    <definedName name="singleswitchwp">#REF!</definedName>
    <definedName name="sinto">#REF!</definedName>
    <definedName name="sMbr">'[25]05 RB A-2 300kp Shop Sub St.'!$H$1:$H$65536</definedName>
    <definedName name="socket10a1p">#REF!</definedName>
    <definedName name="socket16a1p">#REF!</definedName>
    <definedName name="SOCKET16A3P">#REF!</definedName>
    <definedName name="socket16a3x4">#REF!</definedName>
    <definedName name="SOCKET20A1P">#REF!</definedName>
    <definedName name="socketoutlet_schucko">#REF!</definedName>
    <definedName name="socketwithswitch16a1p">#REF!</definedName>
    <definedName name="socketwp10a1p">#REF!</definedName>
    <definedName name="spblk">'[18]A2 for above 3rd floor'!$G$41</definedName>
    <definedName name="spco">'[18]A2 for above 3rd floor'!$G$31</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#REF!</definedName>
    <definedName name="srgas">#REF!</definedName>
    <definedName name="ss">'[4]05 RB A-2 300kp Res. Sub St.'!#REF!</definedName>
    <definedName name="ss.">#REF!</definedName>
    <definedName name="sshgyighjkuhv">#REF!</definedName>
    <definedName name="ssss">#REF!</definedName>
    <definedName name="ssssss">'[4]05 Ar &amp; St'!#REF!</definedName>
    <definedName name="ssssssssssssssssssssssssssssssssssssssssssssss">#REF!</definedName>
    <definedName name="staf">#REF!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tirupp_Info">#REF!</definedName>
    <definedName name="Stl_Truss">'[13]T-OFF'!$A$1:$F$65536</definedName>
    <definedName name="Str_Steel_Work">'[4]05 Ar &amp; St'!#REF!</definedName>
    <definedName name="stralstl">'[18]A2 for above 3rd floor'!$G$103</definedName>
    <definedName name="Structural_steel_work">#REF!</definedName>
    <definedName name="Structural_steel_work_total">'[8] Ar &amp; St'!$M$77</definedName>
    <definedName name="strutural_steel_total">'[26]08 Ar &amp; St'!$M$23</definedName>
    <definedName name="sub">#REF!</definedName>
    <definedName name="Sub_Concrete">#REF!</definedName>
    <definedName name="Sub_Concrete_Work">'[4]05 Sub Structure BC = 300'!$M$57</definedName>
    <definedName name="Sub_Structure">'[4]05 Summary'!$E$21</definedName>
    <definedName name="subdia">'[27]RB E-1 300kp SHOP. Sub St.'!$D$1:$D$65536</definedName>
    <definedName name="sum">#REF!</definedName>
    <definedName name="Sum?">#REF!</definedName>
    <definedName name="super">'[4]05 A-2 300kp Sup St.'!$A$1:$F$65536</definedName>
    <definedName name="Super_concrete_range">'[10]E-1 300kp Res. Sup St.'!$A$1:$F$65536</definedName>
    <definedName name="Super_Concrete_Work">'[4]05 Ar &amp; St'!$M$40</definedName>
    <definedName name="super_qty_range">'[5]E-1 200kp  Sup St.'!$A$1:$F$65536</definedName>
    <definedName name="Super_Structure">'[4]05 Summary'!$E$37</definedName>
    <definedName name="supper">#REF!</definedName>
    <definedName name="surfacepanel12acb">#REF!</definedName>
    <definedName name="surfacepanel24acb">#REF!</definedName>
    <definedName name="surfacepanel36acb">#REF!</definedName>
    <definedName name="surfacepanel8acb">#REF!</definedName>
    <definedName name="surgearrester_40">#REF!</definedName>
    <definedName name="surgearrester_70">#REF!</definedName>
    <definedName name="surv">#REF!</definedName>
    <definedName name="SURVICE">#REF!</definedName>
    <definedName name="t">#REF!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CHN">#N/A</definedName>
    <definedName name="tel">#REF!</definedName>
    <definedName name="telephonepoint">#REF!</definedName>
    <definedName name="Test">'[4]05 Summary'!$E$14</definedName>
    <definedName name="testclamp25x3">#REF!</definedName>
    <definedName name="testclamp5070">#REF!</definedName>
    <definedName name="Three_H_A_2">'[28]Solomon Weldu A2,E1-FevV'!#REF!</definedName>
    <definedName name="timerswitch">#REF!</definedName>
    <definedName name="tms136gdl140">#REF!</definedName>
    <definedName name="tms136gkd140">#REF!</definedName>
    <definedName name="tms236gkh240">#REF!</definedName>
    <definedName name="TodateQTYspr">'[4]05 Ar &amp; St'!$J$1:$J$65536</definedName>
    <definedName name="Total">'[13]Sub-Structure Rein'!$J$1:$J$65536</definedName>
    <definedName name="Total_block_work">#REF!</definedName>
    <definedName name="Total_Interest">#REF!</definedName>
    <definedName name="Total_Pay">#REF!</definedName>
    <definedName name="Total_Structural_Steel_Work">'[29]06 to 08 Ar &amp; St'!$M$69</definedName>
    <definedName name="Total_summary">#REF!</definedName>
    <definedName name="total1">'[2]RHS and Lattice purline A-2'!$J$1:$J$65536</definedName>
    <definedName name="total2">'[3]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#REF!</definedName>
    <definedName name="TotalEarthworks10">'[30]Bills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#N/A</definedName>
    <definedName name="TTL">'[9]Supr Rebar'!$J:$J</definedName>
    <definedName name="tv">#REF!</definedName>
    <definedName name="tvaerial10element">#REF!</definedName>
    <definedName name="tvoutletloopthrough">#REF!</definedName>
    <definedName name="tvoutletterminal">#REF!</definedName>
    <definedName name="tvpoint">#REF!</definedName>
    <definedName name="Twenty_Five_H_A_2">'[28]Solomon Weldu A2,E1-FevV'!#REF!</definedName>
    <definedName name="Two_H">#REF!</definedName>
    <definedName name="Two_H_A_2">'[28]Solomon Weldu A2,E1-FevV'!#REF!</definedName>
    <definedName name="twowayswitch">#REF!</definedName>
    <definedName name="u">#REF!</definedName>
    <definedName name="untprice">#REF!</definedName>
    <definedName name="uuu">'[17]Block A Rebar'!$H$8:$H$66375</definedName>
    <definedName name="Values_Entered">IF(Loan_Amount*Interest_Rate*Loan_Years*Loan_Start&gt;0,1,0)</definedName>
    <definedName name="vcvcvzcb">#REF!</definedName>
    <definedName name="vDateTime">#REF!</definedName>
    <definedName name="vDiastolic">#REF!</definedName>
    <definedName name="vfghdhhdh">#REF!</definedName>
    <definedName name="vHeartRate">#REF!</definedName>
    <definedName name="vibrationdetector">#REF!</definedName>
    <definedName name="vSystolic">#REF!</definedName>
    <definedName name="vvvvvvvv">#REF!</definedName>
    <definedName name="wallglobe">#REF!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#REF!</definedName>
    <definedName name="xCCc">#REF!</definedName>
    <definedName name="xczczc">'[32]Windows and Doors'!$A$5:$Y$10</definedName>
    <definedName name="xxx">#REF!</definedName>
    <definedName name="xxxxbx">#REF!</definedName>
    <definedName name="yyyyyy">#REF!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85" i="20" l="1"/>
  <c r="F186" i="20"/>
  <c r="F187" i="20"/>
  <c r="F188" i="20"/>
  <c r="F189" i="20"/>
  <c r="F190" i="20"/>
  <c r="F192" i="20"/>
  <c r="F193" i="20"/>
  <c r="F194" i="20"/>
  <c r="F195" i="20"/>
  <c r="F196" i="20"/>
  <c r="F197" i="20"/>
  <c r="F199" i="20"/>
  <c r="F200" i="20"/>
  <c r="F201" i="20"/>
  <c r="F202" i="20"/>
  <c r="F203" i="20"/>
  <c r="F204" i="20"/>
  <c r="F205" i="20"/>
  <c r="F10" i="43"/>
  <c r="F9" i="43"/>
  <c r="F8" i="43"/>
  <c r="F7" i="43"/>
  <c r="F6" i="43"/>
  <c r="F5" i="43"/>
  <c r="F132" i="20"/>
  <c r="D207" i="20"/>
  <c r="F207" i="20" s="1"/>
  <c r="F211" i="20"/>
  <c r="F210" i="20"/>
  <c r="F209" i="20"/>
  <c r="F208" i="20"/>
  <c r="F206" i="20"/>
  <c r="F11" i="43" l="1"/>
  <c r="F178" i="20"/>
  <c r="F177" i="20"/>
  <c r="F180" i="20"/>
  <c r="F43" i="20" l="1"/>
  <c r="F44" i="20"/>
  <c r="F45" i="20"/>
  <c r="F46" i="20"/>
  <c r="F47" i="20"/>
  <c r="F48" i="20"/>
  <c r="F49" i="20"/>
  <c r="F50" i="20"/>
  <c r="F52" i="20"/>
  <c r="F55" i="20"/>
  <c r="F56" i="20"/>
  <c r="F57" i="20"/>
  <c r="F58" i="20"/>
  <c r="D111" i="20"/>
  <c r="F111" i="20" s="1"/>
  <c r="D113" i="20"/>
  <c r="F113" i="20" s="1"/>
  <c r="D112" i="20"/>
  <c r="F112" i="20" s="1"/>
  <c r="F107" i="20"/>
  <c r="F106" i="20"/>
  <c r="F105" i="20"/>
  <c r="F104" i="20"/>
  <c r="F103" i="20"/>
  <c r="F102" i="20"/>
  <c r="F101" i="20"/>
  <c r="F100" i="20"/>
  <c r="F99" i="20"/>
  <c r="F98" i="20"/>
  <c r="F97" i="20"/>
  <c r="F96" i="20"/>
  <c r="F95" i="20"/>
  <c r="F94" i="20"/>
  <c r="F93" i="20"/>
  <c r="F92" i="20"/>
  <c r="F91" i="20"/>
  <c r="F90" i="20"/>
  <c r="F89" i="20"/>
  <c r="F88" i="20"/>
  <c r="F87" i="20"/>
  <c r="F86" i="20"/>
  <c r="D67" i="20"/>
  <c r="F67" i="20" s="1"/>
  <c r="D65" i="20"/>
  <c r="F65" i="20" s="1"/>
  <c r="D84" i="20"/>
  <c r="F84" i="20" s="1"/>
  <c r="D83" i="20"/>
  <c r="F83" i="20" s="1"/>
  <c r="D82" i="20"/>
  <c r="F82" i="20" s="1"/>
  <c r="D81" i="20"/>
  <c r="F81" i="20" s="1"/>
  <c r="D80" i="20"/>
  <c r="F80" i="20" s="1"/>
  <c r="D79" i="20"/>
  <c r="F79" i="20" s="1"/>
  <c r="D78" i="20"/>
  <c r="F78" i="20" s="1"/>
  <c r="D77" i="20"/>
  <c r="F77" i="20" s="1"/>
  <c r="D76" i="20"/>
  <c r="F76" i="20" s="1"/>
  <c r="D75" i="20"/>
  <c r="F75" i="20" s="1"/>
  <c r="D73" i="20"/>
  <c r="F73" i="20" s="1"/>
  <c r="D74" i="20"/>
  <c r="F74" i="20" s="1"/>
  <c r="D70" i="20"/>
  <c r="F70" i="20" s="1"/>
  <c r="D72" i="20"/>
  <c r="F72" i="20" s="1"/>
  <c r="D71" i="20"/>
  <c r="F71" i="20" s="1"/>
  <c r="D69" i="20"/>
  <c r="F69" i="20" s="1"/>
  <c r="D68" i="20"/>
  <c r="F68" i="20" s="1"/>
  <c r="D66" i="20"/>
  <c r="F66" i="20" s="1"/>
  <c r="D64" i="20"/>
  <c r="F64" i="20" s="1"/>
  <c r="D63" i="20"/>
  <c r="F63" i="20" s="1"/>
  <c r="F62" i="20"/>
  <c r="F31" i="20"/>
  <c r="F29" i="20"/>
  <c r="F28" i="20"/>
  <c r="F30" i="20"/>
  <c r="F27" i="20"/>
  <c r="F23" i="20"/>
  <c r="F19" i="20"/>
  <c r="F26" i="20"/>
  <c r="F21" i="20"/>
  <c r="F20" i="20"/>
  <c r="F18" i="20"/>
  <c r="F17" i="20"/>
  <c r="F24" i="20"/>
  <c r="F22" i="20"/>
  <c r="F25" i="20"/>
  <c r="F16" i="20"/>
  <c r="F15" i="20"/>
  <c r="F109" i="20"/>
  <c r="F14" i="20"/>
  <c r="F54" i="20"/>
  <c r="F53" i="20"/>
  <c r="F51" i="20"/>
  <c r="F42" i="20"/>
  <c r="F35" i="20"/>
  <c r="F36" i="20"/>
  <c r="F32" i="20"/>
  <c r="F34" i="20"/>
  <c r="F13" i="20"/>
  <c r="F172" i="20"/>
  <c r="F171" i="20"/>
  <c r="F170" i="20"/>
  <c r="F169" i="20"/>
  <c r="F168" i="20"/>
  <c r="F167" i="20"/>
  <c r="F166" i="20"/>
  <c r="F165" i="20"/>
  <c r="F164" i="20"/>
  <c r="F163" i="20"/>
  <c r="F162" i="20"/>
  <c r="F161" i="20"/>
  <c r="F160" i="20"/>
  <c r="F159" i="20"/>
  <c r="F158" i="20"/>
  <c r="F157" i="20"/>
  <c r="F156" i="20"/>
  <c r="F155" i="20"/>
  <c r="F179" i="20"/>
  <c r="F181" i="20" s="1"/>
  <c r="F143" i="20"/>
  <c r="F152" i="20"/>
  <c r="F151" i="20"/>
  <c r="F150" i="20"/>
  <c r="F149" i="20"/>
  <c r="F148" i="20"/>
  <c r="F147" i="20"/>
  <c r="F146" i="20"/>
  <c r="F145" i="20"/>
  <c r="F144" i="20"/>
  <c r="F142" i="20"/>
  <c r="F141" i="20"/>
  <c r="F140" i="20"/>
  <c r="F139" i="20"/>
  <c r="F138" i="20"/>
  <c r="F137" i="20"/>
  <c r="F136" i="20"/>
  <c r="F135" i="20"/>
  <c r="F173" i="20" l="1"/>
  <c r="F59" i="20"/>
  <c r="C8" i="21" s="1"/>
  <c r="F114" i="20"/>
  <c r="C9" i="21" s="1"/>
  <c r="F37" i="20"/>
  <c r="C7" i="21" s="1"/>
  <c r="F118" i="20"/>
  <c r="F117" i="20"/>
  <c r="F119" i="20" l="1"/>
  <c r="C10" i="21" s="1"/>
  <c r="C11" i="21" l="1"/>
  <c r="C12" i="21" l="1"/>
  <c r="F6" i="20" l="1"/>
  <c r="F7" i="20" s="1"/>
  <c r="C6" i="21" s="1"/>
  <c r="F212" i="20" l="1"/>
  <c r="C13" i="21" s="1"/>
  <c r="C63" i="29"/>
  <c r="D63" i="29"/>
  <c r="H63" i="29"/>
  <c r="F58" i="29"/>
  <c r="G58" i="29"/>
  <c r="B58" i="29"/>
  <c r="G62" i="29"/>
  <c r="F62" i="29"/>
  <c r="B62" i="29"/>
  <c r="G61" i="29"/>
  <c r="B61" i="29"/>
  <c r="F61" i="29"/>
  <c r="G60" i="29"/>
  <c r="F60" i="29"/>
  <c r="B60" i="29"/>
  <c r="G59" i="29"/>
  <c r="B59" i="29"/>
  <c r="F57" i="29"/>
  <c r="G57" i="29"/>
  <c r="B57" i="29"/>
  <c r="F56" i="29"/>
  <c r="G56" i="29"/>
  <c r="B56" i="29"/>
  <c r="F55" i="29"/>
  <c r="G55" i="29"/>
  <c r="B55" i="29"/>
  <c r="F54" i="29"/>
  <c r="G54" i="29"/>
  <c r="B54" i="29"/>
  <c r="B53" i="29"/>
  <c r="B52" i="29"/>
  <c r="F53" i="29"/>
  <c r="G53" i="29"/>
  <c r="G52" i="29"/>
  <c r="B51" i="29"/>
  <c r="G51" i="29"/>
  <c r="G49" i="29"/>
  <c r="F49" i="29"/>
  <c r="B49" i="29"/>
  <c r="G48" i="29"/>
  <c r="F48" i="29"/>
  <c r="B48" i="29"/>
  <c r="G47" i="29"/>
  <c r="F47" i="29"/>
  <c r="B47" i="29"/>
  <c r="G46" i="29"/>
  <c r="F46" i="29"/>
  <c r="E46" i="29"/>
  <c r="B46" i="29"/>
  <c r="G45" i="29"/>
  <c r="F45" i="29"/>
  <c r="B45" i="29"/>
  <c r="G44" i="29"/>
  <c r="F44" i="29"/>
  <c r="B44" i="29"/>
  <c r="G43" i="29"/>
  <c r="F43" i="29"/>
  <c r="B43" i="29"/>
  <c r="F42" i="29"/>
  <c r="E42" i="29"/>
  <c r="B42" i="29"/>
  <c r="G41" i="29"/>
  <c r="F41" i="29"/>
  <c r="B41" i="29"/>
  <c r="G40" i="29"/>
  <c r="F40" i="29"/>
  <c r="B40" i="29"/>
  <c r="G39" i="29"/>
  <c r="F39" i="29"/>
  <c r="B39" i="29"/>
  <c r="G38" i="29"/>
  <c r="F38" i="29"/>
  <c r="B38" i="29"/>
  <c r="G37" i="29"/>
  <c r="F37" i="29"/>
  <c r="B37" i="29"/>
  <c r="G36" i="29"/>
  <c r="B36" i="29"/>
  <c r="G35" i="29"/>
  <c r="F35" i="29"/>
  <c r="B35" i="29"/>
  <c r="G34" i="29"/>
  <c r="B34" i="29"/>
  <c r="G33" i="29"/>
  <c r="F33" i="29"/>
  <c r="B33" i="29"/>
  <c r="G32" i="29"/>
  <c r="F32" i="29"/>
  <c r="B32" i="29"/>
  <c r="G30" i="29"/>
  <c r="F30" i="29"/>
  <c r="B30" i="29"/>
  <c r="G29" i="29"/>
  <c r="F29" i="29"/>
  <c r="B29" i="29"/>
  <c r="G28" i="29"/>
  <c r="F28" i="29"/>
  <c r="B28" i="29"/>
  <c r="G27" i="29"/>
  <c r="B27" i="29"/>
  <c r="G26" i="29"/>
  <c r="F26" i="29"/>
  <c r="B26" i="29"/>
  <c r="G25" i="29"/>
  <c r="F25" i="29"/>
  <c r="B25" i="29"/>
  <c r="G24" i="29"/>
  <c r="F24" i="29"/>
  <c r="B24" i="29"/>
  <c r="G23" i="29"/>
  <c r="F23" i="29"/>
  <c r="B23" i="29"/>
  <c r="G22" i="29"/>
  <c r="F22" i="29"/>
  <c r="B22" i="29"/>
  <c r="G21" i="29"/>
  <c r="F21" i="29"/>
  <c r="B21" i="29"/>
  <c r="G20" i="29"/>
  <c r="G63" i="29" s="1"/>
  <c r="F20" i="29"/>
  <c r="B20" i="29"/>
  <c r="F19" i="29"/>
  <c r="E19" i="29"/>
  <c r="B19" i="29"/>
  <c r="G18" i="29"/>
  <c r="F18" i="29"/>
  <c r="B18" i="29"/>
  <c r="F17" i="29"/>
  <c r="E17" i="29"/>
  <c r="B17" i="29"/>
  <c r="G16" i="29"/>
  <c r="F16" i="29"/>
  <c r="B16" i="29"/>
  <c r="E15" i="29"/>
  <c r="B15" i="29"/>
  <c r="F14" i="29"/>
  <c r="E14" i="29"/>
  <c r="B14" i="29"/>
  <c r="G13" i="29"/>
  <c r="F13" i="29"/>
  <c r="B13" i="29"/>
  <c r="E12" i="29"/>
  <c r="B12" i="29"/>
  <c r="E11" i="29"/>
  <c r="B11" i="29"/>
  <c r="E10" i="29"/>
  <c r="B10" i="29"/>
  <c r="E9" i="29"/>
  <c r="B9" i="29"/>
  <c r="E8" i="29"/>
  <c r="B8" i="29"/>
  <c r="E7" i="29"/>
  <c r="B7" i="29"/>
  <c r="E6" i="29"/>
  <c r="B6" i="29"/>
  <c r="E5" i="29"/>
  <c r="B5" i="29"/>
  <c r="E4" i="29"/>
  <c r="B4" i="29"/>
  <c r="E3" i="29"/>
  <c r="B3" i="29"/>
  <c r="E2" i="29"/>
  <c r="B2" i="29"/>
  <c r="F63" i="29" l="1"/>
  <c r="E63" i="29"/>
  <c r="B63" i="29"/>
  <c r="C15" i="21" l="1"/>
  <c r="C16" i="21" s="1"/>
  <c r="C18" i="21" s="1"/>
</calcChain>
</file>

<file path=xl/sharedStrings.xml><?xml version="1.0" encoding="utf-8"?>
<sst xmlns="http://schemas.openxmlformats.org/spreadsheetml/2006/main" count="707" uniqueCount="388">
  <si>
    <t>ITEM</t>
  </si>
  <si>
    <t>DESCRIPTION</t>
  </si>
  <si>
    <t>UNIT</t>
  </si>
  <si>
    <t>QUANTITY</t>
  </si>
  <si>
    <t>RATE</t>
  </si>
  <si>
    <t>m²</t>
  </si>
  <si>
    <t>SUMMARY OF PRICES</t>
  </si>
  <si>
    <t>Birr</t>
  </si>
  <si>
    <t>02</t>
  </si>
  <si>
    <t>03</t>
  </si>
  <si>
    <t>04</t>
  </si>
  <si>
    <t>05</t>
  </si>
  <si>
    <t>METAL WORK</t>
  </si>
  <si>
    <t>No</t>
  </si>
  <si>
    <t>SUB TOTAL METAL WORK ETH BIRR</t>
  </si>
  <si>
    <t>SUB TOTAL FINISHING WORK ETH BIRR</t>
  </si>
  <si>
    <t>PAINTING</t>
  </si>
  <si>
    <t>SUB TOTAL PAINTING WORK ETH BIRR</t>
  </si>
  <si>
    <t>Bm 3</t>
  </si>
  <si>
    <t>BM 2</t>
  </si>
  <si>
    <t>Bm A</t>
  </si>
  <si>
    <t>BM B</t>
  </si>
  <si>
    <t>BM C</t>
  </si>
  <si>
    <t>BM D</t>
  </si>
  <si>
    <t>MB H</t>
  </si>
  <si>
    <t>BM F</t>
  </si>
  <si>
    <t>BM E</t>
  </si>
  <si>
    <t>BM G</t>
  </si>
  <si>
    <t>BM 1</t>
  </si>
  <si>
    <t>BM 4</t>
  </si>
  <si>
    <t>BM 3</t>
  </si>
  <si>
    <t>BM H</t>
  </si>
  <si>
    <t>BM 1 Arc</t>
  </si>
  <si>
    <t>BM 4 arc</t>
  </si>
  <si>
    <t>BM I'</t>
  </si>
  <si>
    <t>at elev 3, 8, 12</t>
  </si>
  <si>
    <t>BM E&amp;F</t>
  </si>
  <si>
    <t>BM A</t>
  </si>
  <si>
    <t>BM 1&amp;2 Arc</t>
  </si>
  <si>
    <t>TYP</t>
  </si>
  <si>
    <t>BM F&amp;G</t>
  </si>
  <si>
    <t>BM C&amp;I'</t>
  </si>
  <si>
    <t>Total</t>
  </si>
  <si>
    <t>CARPENTRY &amp; JOINERY</t>
  </si>
  <si>
    <t>SUB TOTAL CARPENTRY AND JOINERY WORK ETH BIRR</t>
  </si>
  <si>
    <t>SERVICE SUM</t>
  </si>
  <si>
    <t>Carpentry and Ceiling Works</t>
  </si>
  <si>
    <t>15% VAT</t>
  </si>
  <si>
    <t>GRAND TOTAL</t>
  </si>
  <si>
    <t>01</t>
  </si>
  <si>
    <t>5.1</t>
  </si>
  <si>
    <t>5.1.1</t>
  </si>
  <si>
    <t xml:space="preserve"> ELECTRICAL INSTALLATION</t>
  </si>
  <si>
    <t>DOCTORS WITH AFRICA- CUAMM</t>
  </si>
  <si>
    <t>1.1</t>
  </si>
  <si>
    <t>1.1.1</t>
  </si>
  <si>
    <t>2.1</t>
  </si>
  <si>
    <t>2.1.1</t>
  </si>
  <si>
    <t>06</t>
  </si>
  <si>
    <t>08</t>
  </si>
  <si>
    <t>8.1.1</t>
  </si>
  <si>
    <t>Flush Mounted Socket Outlet Points</t>
  </si>
  <si>
    <t xml:space="preserve">Flush Mounted Socket Outlets with Earth Contact </t>
  </si>
  <si>
    <t>SPECIFICATIONS AND BILL OF QUANTITIES WITH ENGINEERING ESTIMATE</t>
  </si>
  <si>
    <t>PROJECT:</t>
  </si>
  <si>
    <t>LOCATION:</t>
  </si>
  <si>
    <t xml:space="preserve">Prepared by:- Solomon Tesfay  </t>
  </si>
  <si>
    <t>OWNER:</t>
  </si>
  <si>
    <t>Preamble to the Bill of Quantities</t>
  </si>
  <si>
    <t>1.   The Bill of Quantities shall be read in conjunction with the Drawings and Technical Specifications.</t>
  </si>
  <si>
    <t>2.   The Bill of Quantities contains the following part Bills and Schedules:</t>
  </si>
  <si>
    <t>3. The Quantities given in the Bill of Quantities are estimated and provisional, and are given to provide a common basis for bidding. The estimated contract quantity of each item of works will be set at the time of contract signing. In addition to this the basis of payment will be the actual quantities of work ordered and carried out, as measured by the Contractor and verified by the Engineer and valued at the rates and prices bid in the priced Bill of Quantities, where applicable, and otherwise at such rates and prices as the Engineer may fix within the terms of the Contract.</t>
  </si>
  <si>
    <t>4.  The rates and prices bid in the priced Bill of Quantities shall, except insofar as it is otherwise provided under the Contract, include all Constructional Plant, Labor, supervision, materials, erection, maintenance, insurance, profit, taxes, and duties, together with all general risks, liabilities, and obligations set out or implied in the Contract.</t>
  </si>
  <si>
    <t>5. A rate or price shall be entered against each item in the priced Bill of Quantities, whether quantities are stated or not. The cost of Items against which the Contractor has failed to enter a rate or price shall be deemed to be covered by other rates and prices entered in the Bill of Quantities.</t>
  </si>
  <si>
    <t>6. The rates in this Bill of quantities shall consider all incidental works required to protect existing structures.</t>
  </si>
  <si>
    <t>7. Items associated with a priced item necessary for its satisfactory fixing shall be considered as included in the rate of the item.</t>
  </si>
  <si>
    <t>8. The rates given for Provisional Quantities (PQ) will be binding if the client decides to incorporate these works as additional works.</t>
  </si>
  <si>
    <t>9. The whole cost of complying with the provisions of the Contract shall be included in the Items provided in the priced Bill of Quantities, and where no Items are provided, the cost shall be deemed to be distributed among the rates and prices entered for the related Items of Work.</t>
  </si>
  <si>
    <t>10. The Overhead &amp; risk and the gross profit for variation orders will be 35% .</t>
  </si>
  <si>
    <t>11. General directions and descriptions of work and materials are not necessarily repeated nor summarized in the Bill of Quantities. References to the relevant sections of the contract documentation shall be made before entering prices against each item in the priced Bill of Quantities.</t>
  </si>
  <si>
    <t>12. The method of measurement of completed work for payment shall be in accordance with Standard Methods of Measurement ECPN-4.</t>
  </si>
  <si>
    <t>13. The Bill of Quantities contains items</t>
  </si>
  <si>
    <t>a.   Supplied and installed by the Prime contractor</t>
  </si>
  <si>
    <t>b.   Provisional Quantities Supplied and installed by the Prime contractor</t>
  </si>
  <si>
    <t>c.   Provisional Sum Items supplied by the Client  and installed by the Prime Contractor</t>
  </si>
  <si>
    <t>d.  Provisional Sum Items Supplied and installed by Nominated Sub-contractor</t>
  </si>
  <si>
    <t>14. Provisional Sums included and so designated in the Bill of Quantities shall be expended in whole or in part at the direction and discretion of the Engineer.</t>
  </si>
  <si>
    <r>
      <rPr>
        <sz val="12"/>
        <rFont val="Garamond"/>
        <family val="1"/>
      </rPr>
      <t>15. The duties and responsibilities of the Prime Contractor for items 13(b), 13(c) and 13 (d) above are deemed to be covered by the Contractor’s charge indicated in here. The duties and responsibilities of the Prime Contractor in addition to those indicated in the Bill of Quantities are:-</t>
    </r>
  </si>
  <si>
    <t>a.   Handle and store materials at site both for prime contractor, the Client and nominated sub-contractor works.</t>
  </si>
  <si>
    <t>b. Provide utilities like power, water and other necessary utilities for use by the Client and nominated sub-contractors.</t>
  </si>
  <si>
    <t>c. Provide within the site transport and lifting equipment for all loading and unloading purposes and all required transportation within the site as required by the Client and nominated sub-contractors.</t>
  </si>
  <si>
    <t>d.  Provide scaffolding, ladder, etc as needed</t>
  </si>
  <si>
    <t>e. Execute any incidental works, like concrete work, earthwork, finishing, patching, and chiseling as required by the Client and nominated sub- contractors.</t>
  </si>
  <si>
    <t>f.   Removal of debris and clean the site at completion</t>
  </si>
  <si>
    <t>16. Errors will be corrected by the Employer for any arithmetic errors in computation or summation as follows:</t>
  </si>
  <si>
    <t>(a) where there is discrepancy between amounts in figures and in words, the amount in words will govern</t>
  </si>
  <si>
    <t>(b) where there is a discrepancy between the unit rate and the total amount derived from the multiplication of the unit price and the quantity, the unit rate as quoted will govern.</t>
  </si>
  <si>
    <t>17. Rock is defined as all materials which, in the opinion of the Engineer, require blasting, or the use of metal wedges and sledgehammers, or the use of compressed air drilling for their removal, and which cannot be extracted by ripping with a tractor of at least 150 brake hp with a single, rear-mounted, heavy-duty ripper.</t>
  </si>
  <si>
    <t>18. A type of bonding agent used for bonding old concrete to newly fresh one should get approval before application and the cost in connection with the bonding old concrete to newly fresh one shall be born by the Contractor.</t>
  </si>
  <si>
    <t>19. All provision for sanitary pipe passage, Electrical and Sanitary ducts and provision of sleeves will have to be done during concrete works as per the Electrical and Sanitary drawings and they are deemed to be included in the other rates and prices entered in the Bill of Quantities.</t>
  </si>
  <si>
    <t>20. The Contractor is responsible for the detail assessment of the Site conditions and any measure to be taken is included in the rates.</t>
  </si>
  <si>
    <t>21. The removal of Surplus excavated material shall be to an appropriate place away from the construction site. The contractor shall also make arrangement to damp this surplus excavated material to the owner place by the Direction of the Resident Engineer.</t>
  </si>
  <si>
    <r>
      <t>22. The Contractor shall submit catalogues with full description for Items under all Divisions which include, but are not limited to: Finishing Materials, Electrical, Sanitary fittings &amp; Equipments and shall get approval by the Engineer before purchasing or ordering</t>
    </r>
    <r>
      <rPr>
        <sz val="12"/>
        <color rgb="FFFF0000"/>
        <rFont val="Garamond"/>
        <family val="1"/>
      </rPr>
      <t>.</t>
    </r>
  </si>
  <si>
    <t>23. All Electrical and Sanitary works /installation/ shall be done by experienced staff or specialized sub-contractor or personnel who have a minimum of eight years experience with similar works &amp; this has to be approved by the Engineer based on their CVs &amp; educational background and certification and recommendation and/or supervision by suppliers.</t>
  </si>
  <si>
    <t>24. All Electrical and Sanitary works shall be tested &amp; commissioned prior to filling chiseled cavities, installing ceilings, covering vertical &amp; horizontal ducts &amp; back filling trenches. The Contractor shall be fully responsible for all systems.</t>
  </si>
  <si>
    <t>25. The Prime contractor shall submit samples of all finishing materials installed by himself and by nominated sub-contractors for approval by the Engineer and the Employer.</t>
  </si>
  <si>
    <t>MECHANICAL INSTALLATION</t>
  </si>
  <si>
    <t>set</t>
  </si>
  <si>
    <t>LS</t>
  </si>
  <si>
    <t>SANITARY WORK</t>
  </si>
  <si>
    <t>pcs</t>
  </si>
  <si>
    <t xml:space="preserve">Supply and fix Turkish Type Water closet made of enameled sheet steel. The fixture shall conform to British Standard Specification. The waste fittings,  connecting pieces, fixing and supporting elements and Complete with all the necessary  accessories.  </t>
  </si>
  <si>
    <t>Supply, Install and Test all Electrical Systems: Power Distribution Boards with Circuit Breakers, Light Fittings with Lamps, Switches, Outlets and Others including required items and accessories. All items shall be Industry standard and approved equivalent types.</t>
  </si>
  <si>
    <r>
      <rPr>
        <sz val="11"/>
        <color theme="1"/>
        <rFont val="Calibri"/>
        <family val="2"/>
      </rPr>
      <t>16A/1P socket outlet points fed through PVC insulated conductors of 3x2.5mm</t>
    </r>
    <r>
      <rPr>
        <vertAlign val="superscript"/>
        <sz val="11"/>
        <color theme="1"/>
        <rFont val="Calibri"/>
        <family val="2"/>
      </rPr>
      <t>2</t>
    </r>
    <r>
      <rPr>
        <sz val="11"/>
        <color theme="1"/>
        <rFont val="Calibri"/>
        <family val="2"/>
      </rPr>
      <t xml:space="preserve"> inside PVC conduit of 16mm diameter including junction boxes with covers and insulating screw cap connectors.</t>
    </r>
  </si>
  <si>
    <t>SUB TOTAL FOR ELECTRICAL WORK ETH BIRR</t>
  </si>
  <si>
    <t>Triage</t>
  </si>
  <si>
    <t>SANITARY APPLIANCES INSTALLATION</t>
  </si>
  <si>
    <r>
      <rPr>
        <sz val="11"/>
        <color theme="1"/>
        <rFont val="Calibri"/>
        <family val="2"/>
      </rPr>
      <t>m</t>
    </r>
    <r>
      <rPr>
        <vertAlign val="superscript"/>
        <sz val="11"/>
        <color theme="1"/>
        <rFont val="Calibri"/>
        <family val="2"/>
      </rPr>
      <t>2</t>
    </r>
  </si>
  <si>
    <t>SUB TOTAL FOR SANITARY WORK ETH BIRR</t>
  </si>
  <si>
    <t>SUB TOTAL FOR MECHANICAL WORK ETH BIRR</t>
  </si>
  <si>
    <t>Supply and fix 9mm  thick high quality laminated PVC ceiling with all its accessories as per the Engineer's approval in parts of the verandah and in all rooms. The ceiling color and material type shall be approved by the engineer.</t>
  </si>
  <si>
    <t>BLACK LION NICU RENOVATION</t>
  </si>
  <si>
    <t>ADDIS ABABA, ETHIOPIA</t>
  </si>
  <si>
    <t>a.   Bill No. 1 – Black Lion NICU Renovation</t>
  </si>
  <si>
    <t>GLAZING</t>
  </si>
  <si>
    <t>Supply and fix 6 mm thick clear sheet glass to windows and doors. Price shall include putty and all the necessary fixing accessories.</t>
  </si>
  <si>
    <t>FLOOR FINISHINGS</t>
  </si>
  <si>
    <t>Epoxy Flooring</t>
  </si>
  <si>
    <r>
      <t xml:space="preserve">Epoxy flooring in hospitals should meet the following technical specifications: </t>
    </r>
    <r>
      <rPr>
        <b/>
        <sz val="11"/>
        <color theme="1"/>
        <rFont val="Calibri"/>
        <family val="2"/>
      </rPr>
      <t>Antimicrobial and stain resistant</t>
    </r>
    <r>
      <rPr>
        <sz val="11"/>
        <color theme="1"/>
        <rFont val="Calibri"/>
        <family val="2"/>
      </rPr>
      <t xml:space="preserve">: Epoxy flooring should be resistant to stains and microbes. </t>
    </r>
    <r>
      <rPr>
        <b/>
        <sz val="11"/>
        <color theme="1"/>
        <rFont val="Calibri"/>
        <family val="2"/>
      </rPr>
      <t>Chemical resistant</t>
    </r>
    <r>
      <rPr>
        <sz val="11"/>
        <color theme="1"/>
        <rFont val="Calibri"/>
        <family val="2"/>
      </rPr>
      <t xml:space="preserve">: Epoxy flooring should be resistant to chemicals and able to withstand aggressive cleaning. </t>
    </r>
    <r>
      <rPr>
        <b/>
        <sz val="11"/>
        <color theme="1"/>
        <rFont val="Calibri"/>
        <family val="2"/>
      </rPr>
      <t>Durable</t>
    </r>
    <r>
      <rPr>
        <sz val="11"/>
        <color theme="1"/>
        <rFont val="Calibri"/>
        <family val="2"/>
      </rPr>
      <t xml:space="preserve">: Epoxy flooring should be ultra-durable and resistant to heavy traffic and equipment. </t>
    </r>
    <r>
      <rPr>
        <b/>
        <sz val="11"/>
        <color theme="1"/>
        <rFont val="Calibri"/>
        <family val="2"/>
      </rPr>
      <t>Non-porous</t>
    </r>
    <r>
      <rPr>
        <sz val="11"/>
        <color theme="1"/>
        <rFont val="Calibri"/>
        <family val="2"/>
      </rPr>
      <t xml:space="preserve">: Epoxy flooring should be seamless and non-porous. </t>
    </r>
    <r>
      <rPr>
        <b/>
        <sz val="11"/>
        <color theme="1"/>
        <rFont val="Calibri"/>
        <family val="2"/>
      </rPr>
      <t>Coefficient of friction</t>
    </r>
    <r>
      <rPr>
        <sz val="11"/>
        <color theme="1"/>
        <rFont val="Calibri"/>
        <family val="2"/>
      </rPr>
      <t>: Epoxy flooring should meet or exceed the requirements for ADA flat and inclined surfaces, as well as OSHA and NFPA requirements. </t>
    </r>
  </si>
  <si>
    <t xml:space="preserve">Conference Room Door </t>
  </si>
  <si>
    <t>Door to verandah</t>
  </si>
  <si>
    <t>Surgical Critical</t>
  </si>
  <si>
    <t>Medical Semi Critical</t>
  </si>
  <si>
    <t>Isolation Room</t>
  </si>
  <si>
    <t>Subcritical Room/ Pre term</t>
  </si>
  <si>
    <t xml:space="preserve">Term Stable </t>
  </si>
  <si>
    <t>Medication Preparation Room</t>
  </si>
  <si>
    <t>KMC</t>
  </si>
  <si>
    <t>Conference Room</t>
  </si>
  <si>
    <t>Staff Kitchen</t>
  </si>
  <si>
    <t>Patient Toilet</t>
  </si>
  <si>
    <t>Physician Duty Room</t>
  </si>
  <si>
    <t>Nurse Duty Room</t>
  </si>
  <si>
    <t xml:space="preserve">Head Nurse Office </t>
  </si>
  <si>
    <t>Store</t>
  </si>
  <si>
    <t>X-Ray Room</t>
  </si>
  <si>
    <t>Cleaning Station</t>
  </si>
  <si>
    <t>Mother Waiting Area</t>
  </si>
  <si>
    <t>Including 25% reserve pitches</t>
  </si>
  <si>
    <t>Connect Existing Laundry machine so as to make it operational by providing  a grounded electrical outlet in close proximity, a hot and cold water supply lines with shutoff valves and a standpipe or laundry tub.</t>
  </si>
  <si>
    <t>3.1</t>
  </si>
  <si>
    <t>3.1.1</t>
  </si>
  <si>
    <t>4.1</t>
  </si>
  <si>
    <t>4.1.1</t>
  </si>
  <si>
    <t>5.1.2</t>
  </si>
  <si>
    <t>Aluminum doors, windows and curtain walls</t>
  </si>
  <si>
    <r>
      <rPr>
        <b/>
        <sz val="11"/>
        <color theme="1"/>
        <rFont val="Calibri"/>
        <family val="2"/>
      </rPr>
      <t>Standards</t>
    </r>
    <r>
      <rPr>
        <sz val="11"/>
        <color theme="1"/>
        <rFont val="Calibri"/>
        <family val="2"/>
      </rPr>
      <t xml:space="preserve">
Comply with the following standard.
Hot dip galvanized coating on iron and steel articles BS 729
Anodic oxidation coating on Aluminum BS 1615
Anodic oxide coating on Aluminum for external architectural application BS 3987
Wrought steel for mechanical &amp; allied engineering purposes BS 970
</t>
    </r>
  </si>
  <si>
    <t>Aluminum Doors</t>
  </si>
  <si>
    <t>3.1.2</t>
  </si>
  <si>
    <t>Main Corridor</t>
  </si>
  <si>
    <r>
      <rPr>
        <b/>
        <sz val="18"/>
        <color indexed="8"/>
        <rFont val="Cambria"/>
        <family val="1"/>
        <scheme val="major"/>
      </rPr>
      <t>01.</t>
    </r>
    <r>
      <rPr>
        <sz val="18"/>
        <color indexed="8"/>
        <rFont val="Cambria"/>
        <family val="1"/>
        <scheme val="major"/>
      </rPr>
      <t xml:space="preserve"> CARPENTERY AND JOINERY</t>
    </r>
  </si>
  <si>
    <r>
      <rPr>
        <b/>
        <sz val="18"/>
        <color indexed="8"/>
        <rFont val="Cambria"/>
        <family val="1"/>
        <scheme val="major"/>
      </rPr>
      <t>02.</t>
    </r>
    <r>
      <rPr>
        <sz val="18"/>
        <color indexed="8"/>
        <rFont val="Cambria"/>
        <family val="1"/>
        <scheme val="major"/>
      </rPr>
      <t xml:space="preserve"> METAL WORK</t>
    </r>
  </si>
  <si>
    <r>
      <rPr>
        <b/>
        <sz val="18"/>
        <color indexed="8"/>
        <rFont val="Cambria"/>
        <family val="1"/>
        <scheme val="major"/>
      </rPr>
      <t>03.</t>
    </r>
    <r>
      <rPr>
        <sz val="18"/>
        <color indexed="8"/>
        <rFont val="Cambria"/>
        <family val="1"/>
        <scheme val="major"/>
      </rPr>
      <t xml:space="preserve"> FLOOR FINISHING</t>
    </r>
  </si>
  <si>
    <r>
      <rPr>
        <b/>
        <sz val="18"/>
        <color indexed="8"/>
        <rFont val="Cambria"/>
        <family val="1"/>
        <scheme val="major"/>
      </rPr>
      <t>04</t>
    </r>
    <r>
      <rPr>
        <sz val="18"/>
        <color indexed="8"/>
        <rFont val="Cambria"/>
        <family val="1"/>
        <scheme val="major"/>
      </rPr>
      <t>. PAINTING</t>
    </r>
  </si>
  <si>
    <r>
      <rPr>
        <b/>
        <sz val="18"/>
        <color indexed="8"/>
        <rFont val="Cambria"/>
        <family val="1"/>
        <scheme val="major"/>
      </rPr>
      <t>05</t>
    </r>
    <r>
      <rPr>
        <sz val="18"/>
        <color indexed="8"/>
        <rFont val="Cambria"/>
        <family val="1"/>
        <scheme val="major"/>
      </rPr>
      <t>. GLAZING</t>
    </r>
  </si>
  <si>
    <r>
      <rPr>
        <b/>
        <sz val="18"/>
        <color indexed="8"/>
        <rFont val="Cambria"/>
        <family val="1"/>
        <scheme val="major"/>
      </rPr>
      <t>06</t>
    </r>
    <r>
      <rPr>
        <sz val="18"/>
        <color indexed="8"/>
        <rFont val="Cambria"/>
        <family val="1"/>
        <scheme val="major"/>
      </rPr>
      <t>. ELECTRICAL WORK</t>
    </r>
  </si>
  <si>
    <r>
      <rPr>
        <b/>
        <sz val="18"/>
        <color indexed="8"/>
        <rFont val="Cambria"/>
        <family val="1"/>
        <scheme val="major"/>
      </rPr>
      <t>07</t>
    </r>
    <r>
      <rPr>
        <sz val="18"/>
        <color indexed="8"/>
        <rFont val="Cambria"/>
        <family val="1"/>
        <scheme val="major"/>
      </rPr>
      <t>. SANITARY WORK</t>
    </r>
  </si>
  <si>
    <t>08. MECHANICAL WORK</t>
  </si>
  <si>
    <t>2.1.1.1</t>
  </si>
  <si>
    <t>2.1.2</t>
  </si>
  <si>
    <t>2.1.2.1</t>
  </si>
  <si>
    <t>2.1.1.2</t>
  </si>
  <si>
    <t xml:space="preserve">Size 4.50x1.80m [between HDU 2 and Medical Semi Critical]
</t>
  </si>
  <si>
    <t>2.1.2.2</t>
  </si>
  <si>
    <t>2.1.2.3</t>
  </si>
  <si>
    <t>Pharmacy</t>
  </si>
  <si>
    <t>3.1.3</t>
  </si>
  <si>
    <t>3.1.4</t>
  </si>
  <si>
    <t>3.1.5</t>
  </si>
  <si>
    <t>3.1.6</t>
  </si>
  <si>
    <t>3.1.7</t>
  </si>
  <si>
    <t>3.1.8</t>
  </si>
  <si>
    <t>3.1.9</t>
  </si>
  <si>
    <t>3.1.10</t>
  </si>
  <si>
    <t>3.1.11</t>
  </si>
  <si>
    <t>3.1.12</t>
  </si>
  <si>
    <t>3.1.13</t>
  </si>
  <si>
    <t>3.1.14</t>
  </si>
  <si>
    <t>3.1.15</t>
  </si>
  <si>
    <t>3.1.16</t>
  </si>
  <si>
    <t>2.1.1.3</t>
  </si>
  <si>
    <t>4.1.2</t>
  </si>
  <si>
    <t>4.1.3</t>
  </si>
  <si>
    <t>4.1.4</t>
  </si>
  <si>
    <t>4.1.5</t>
  </si>
  <si>
    <t>4.1.6</t>
  </si>
  <si>
    <t>4.1.7</t>
  </si>
  <si>
    <t>4.1.8</t>
  </si>
  <si>
    <t>4.1.9</t>
  </si>
  <si>
    <t>4.1.10</t>
  </si>
  <si>
    <t>4.1.11</t>
  </si>
  <si>
    <t>4.1.12</t>
  </si>
  <si>
    <t>4.1.13</t>
  </si>
  <si>
    <t>4.1.14</t>
  </si>
  <si>
    <t>4.1.15</t>
  </si>
  <si>
    <t>4.1.16</t>
  </si>
  <si>
    <t>4.1.17</t>
  </si>
  <si>
    <t>4.1.18</t>
  </si>
  <si>
    <t>4.1.19</t>
  </si>
  <si>
    <t>4.1.20</t>
  </si>
  <si>
    <t>4.1.21</t>
  </si>
  <si>
    <t>4.1.22</t>
  </si>
  <si>
    <t>4.1.23</t>
  </si>
  <si>
    <t>4.2</t>
  </si>
  <si>
    <t>4.3</t>
  </si>
  <si>
    <t>4.3.1</t>
  </si>
  <si>
    <t>4.2.2</t>
  </si>
  <si>
    <t>4.2.3</t>
  </si>
  <si>
    <t>4.2.4</t>
  </si>
  <si>
    <t>4.2.5</t>
  </si>
  <si>
    <t>4.2.6</t>
  </si>
  <si>
    <t>4.2.7</t>
  </si>
  <si>
    <t>4.2.8</t>
  </si>
  <si>
    <t>4.2.9</t>
  </si>
  <si>
    <t>4.2.10</t>
  </si>
  <si>
    <t>4.2.11</t>
  </si>
  <si>
    <t>4.2.12</t>
  </si>
  <si>
    <t>4.2.13</t>
  </si>
  <si>
    <t>4.2.14</t>
  </si>
  <si>
    <t>4.2.15</t>
  </si>
  <si>
    <t>4.2.16</t>
  </si>
  <si>
    <t>4.2.17</t>
  </si>
  <si>
    <t>4.2.18</t>
  </si>
  <si>
    <t>4.2.19</t>
  </si>
  <si>
    <t>4.2.20</t>
  </si>
  <si>
    <t>4.2.21</t>
  </si>
  <si>
    <t>4.2.22</t>
  </si>
  <si>
    <t>4.2.23</t>
  </si>
  <si>
    <t>6.2.1</t>
  </si>
  <si>
    <t>6.2.2</t>
  </si>
  <si>
    <t>6.2.3</t>
  </si>
  <si>
    <t>6.2.4</t>
  </si>
  <si>
    <t>6.2.5</t>
  </si>
  <si>
    <t>6.2.6</t>
  </si>
  <si>
    <t>6.2.7</t>
  </si>
  <si>
    <t>6.2.8</t>
  </si>
  <si>
    <t>6.2.9</t>
  </si>
  <si>
    <t>6.2.10</t>
  </si>
  <si>
    <t>6.2.11</t>
  </si>
  <si>
    <t>6.2.12</t>
  </si>
  <si>
    <t>6.2.13</t>
  </si>
  <si>
    <t>6.2.14</t>
  </si>
  <si>
    <t>6.2.15</t>
  </si>
  <si>
    <t>6.2.16</t>
  </si>
  <si>
    <t>6.2.17</t>
  </si>
  <si>
    <t>6.2.18</t>
  </si>
  <si>
    <t>6.3.1</t>
  </si>
  <si>
    <t>6.3.2</t>
  </si>
  <si>
    <t>6.3.3</t>
  </si>
  <si>
    <t>6.3.4</t>
  </si>
  <si>
    <t>6.3.5</t>
  </si>
  <si>
    <t>6.3.6</t>
  </si>
  <si>
    <t>6.3.7</t>
  </si>
  <si>
    <t>6.3.8</t>
  </si>
  <si>
    <t>6.3.9</t>
  </si>
  <si>
    <t>6.3.10</t>
  </si>
  <si>
    <t>6.3.11</t>
  </si>
  <si>
    <t>6.3.12</t>
  </si>
  <si>
    <t>6.3.13</t>
  </si>
  <si>
    <t>6.3.14</t>
  </si>
  <si>
    <t>6.3.15</t>
  </si>
  <si>
    <t>6.3.16</t>
  </si>
  <si>
    <t>6.3.17</t>
  </si>
  <si>
    <t>6.3.18</t>
  </si>
  <si>
    <r>
      <t xml:space="preserve">Supply and fix </t>
    </r>
    <r>
      <rPr>
        <u/>
        <sz val="11"/>
        <color rgb="FF000000"/>
        <rFont val="Calibri"/>
        <family val="2"/>
      </rPr>
      <t>High quality</t>
    </r>
    <r>
      <rPr>
        <sz val="11"/>
        <color rgb="FF000000"/>
        <rFont val="Calibri"/>
        <family val="2"/>
      </rPr>
      <t xml:space="preserve"> Gold Dragon or equivalent brand  </t>
    </r>
    <r>
      <rPr>
        <u/>
        <sz val="11"/>
        <color rgb="FF000000"/>
        <rFont val="Calibri"/>
        <family val="2"/>
      </rPr>
      <t>Hand wash Basin</t>
    </r>
    <r>
      <rPr>
        <sz val="11"/>
        <color rgb="FF000000"/>
        <rFont val="Calibri"/>
        <family val="2"/>
      </rPr>
      <t xml:space="preserve">. The fixture shall conform to BS5506-3 or equivalent institution. The  mixing faucets, waste drain holes, bottle trap, waste fitting, connecting pieces, fixing, </t>
    </r>
    <r>
      <rPr>
        <u/>
        <sz val="11"/>
        <color rgb="FF000000"/>
        <rFont val="Calibri"/>
        <family val="2"/>
      </rPr>
      <t>female attakini(60cm long)</t>
    </r>
    <r>
      <rPr>
        <sz val="11"/>
        <color rgb="FF000000"/>
        <rFont val="Calibri"/>
        <family val="2"/>
      </rPr>
      <t xml:space="preserve"> and supporting elements and all other accessories shall comply with relevant clauses of BS standard or equivalent institution.     size:</t>
    </r>
    <r>
      <rPr>
        <u/>
        <sz val="11"/>
        <color rgb="FF000000"/>
        <rFont val="Calibri"/>
        <family val="2"/>
      </rPr>
      <t>520x420mmx850 mm high [Mother Waiting Area, Triage, next to Conference Room]</t>
    </r>
  </si>
  <si>
    <t xml:space="preserve">Size 2.00x0.98m [HDU 1]
</t>
  </si>
  <si>
    <t xml:space="preserve">Size 2.00x1.00m [Patient Shower Partition]
</t>
  </si>
  <si>
    <t xml:space="preserve">Size 2.00x1.23m [Cleaning Station]
</t>
  </si>
  <si>
    <t xml:space="preserve">Size 2.00x1.23m [Medical Semi Critical]
</t>
  </si>
  <si>
    <t xml:space="preserve">Size 2.00x1.23m [Surgical Critical]
</t>
  </si>
  <si>
    <t xml:space="preserve">Size 2.00x1.23m [Nurse Duty Room]
</t>
  </si>
  <si>
    <t xml:space="preserve">Size 2.00x1.23m [Medication Preparation Room]
</t>
  </si>
  <si>
    <t xml:space="preserve">Size 2.00x1.23m [Subcritical Preterm]
</t>
  </si>
  <si>
    <t xml:space="preserve">Size 2.00x1.23m [Term Stable]
</t>
  </si>
  <si>
    <t xml:space="preserve">Size 2.00x1.23m [Head Nurse Office]
</t>
  </si>
  <si>
    <t xml:space="preserve">Size 2.00x0.98m [Mother Waiting Area]
</t>
  </si>
  <si>
    <t xml:space="preserve">Size 2.00x1.23m [Isolation Room]
</t>
  </si>
  <si>
    <t xml:space="preserve">Size 2.00x1.23m [KMC]
</t>
  </si>
  <si>
    <t xml:space="preserve">Size 2.00x1.00m [Swinging Door inside KMC]
</t>
  </si>
  <si>
    <t xml:space="preserve">Size 2.00x0.98m [Staff Toilet]
</t>
  </si>
  <si>
    <t xml:space="preserve">Size 2.00x0.98m [Staff Kitchen]
</t>
  </si>
  <si>
    <t xml:space="preserve">Size 2.00x0.98m [Pharmacy]
</t>
  </si>
  <si>
    <t xml:space="preserve">Size 2.00x0.98m [Patient Toilet]
</t>
  </si>
  <si>
    <t xml:space="preserve">Size 2.00x0.98m [Physician Duty Room]
</t>
  </si>
  <si>
    <t xml:space="preserve">Size 2.00x1.00m [X-Ray]
</t>
  </si>
  <si>
    <t xml:space="preserve">Size 6.00x0.60m [Store Top Window]
</t>
  </si>
  <si>
    <t>2.1.1.4</t>
  </si>
  <si>
    <t>2.1.1.5</t>
  </si>
  <si>
    <t>2.1.1.6</t>
  </si>
  <si>
    <t>2.1.1.7</t>
  </si>
  <si>
    <t>2.1.1.8</t>
  </si>
  <si>
    <t>2.1.1.9</t>
  </si>
  <si>
    <t>2.1.1.10</t>
  </si>
  <si>
    <t>2.1.1.11</t>
  </si>
  <si>
    <t>2.1.1.12</t>
  </si>
  <si>
    <t>2.1.1.13</t>
  </si>
  <si>
    <t>2.1.1.14</t>
  </si>
  <si>
    <t>2.1.1.15</t>
  </si>
  <si>
    <t>2.1.1.16</t>
  </si>
  <si>
    <t>2.1.1.17</t>
  </si>
  <si>
    <t>2.1.1.18</t>
  </si>
  <si>
    <t>2.1.1.19</t>
  </si>
  <si>
    <t>2.1.1.20</t>
  </si>
  <si>
    <t xml:space="preserve">Size 4.50x1.80m [between HDU 2 and Surgical Critical]
</t>
  </si>
  <si>
    <t>Aluminum Windows</t>
  </si>
  <si>
    <t>3.1.17</t>
  </si>
  <si>
    <t>Staff Toilet</t>
  </si>
  <si>
    <t>4.4</t>
  </si>
  <si>
    <t>4.4.1</t>
  </si>
  <si>
    <t>4.4.2</t>
  </si>
  <si>
    <t>Access Door to NICU</t>
  </si>
  <si>
    <t>4.4.3</t>
  </si>
  <si>
    <r>
      <t xml:space="preserve">Supply and Apply three coats of plastic emulsion paint to </t>
    </r>
    <r>
      <rPr>
        <b/>
        <sz val="11"/>
        <color theme="1"/>
        <rFont val="Calibri"/>
        <family val="2"/>
      </rPr>
      <t>concrete slab soffit</t>
    </r>
    <r>
      <rPr>
        <sz val="11"/>
        <color theme="1"/>
        <rFont val="Calibri"/>
        <family val="2"/>
      </rPr>
      <t xml:space="preserve"> (Jotun or equivalent). Color to be approved by the Architect/Engineer.</t>
    </r>
  </si>
  <si>
    <r>
      <t xml:space="preserve">Supply and Apply three coats of plastic emulsion paint to </t>
    </r>
    <r>
      <rPr>
        <b/>
        <sz val="11"/>
        <color theme="1"/>
        <rFont val="Calibri"/>
        <family val="2"/>
      </rPr>
      <t xml:space="preserve">Suspended Ceiling </t>
    </r>
    <r>
      <rPr>
        <sz val="11"/>
        <color theme="1"/>
        <rFont val="Calibri"/>
        <family val="2"/>
      </rPr>
      <t>(Jotun or equivalent). Color to be approved by the Architect/Engineer.</t>
    </r>
  </si>
  <si>
    <r>
      <t xml:space="preserve">Supply and Apply three coats of acrylic emulsion paint to </t>
    </r>
    <r>
      <rPr>
        <b/>
        <sz val="11"/>
        <color theme="1"/>
        <rFont val="Calibri"/>
        <family val="2"/>
      </rPr>
      <t>internal plastered wall</t>
    </r>
    <r>
      <rPr>
        <sz val="11"/>
        <color theme="1"/>
        <rFont val="Calibri"/>
        <family val="2"/>
      </rPr>
      <t xml:space="preserve"> surfaces (Jotun or equivalent). Cost includes cleaning both surfaces and fixing all cracks with Masonry Filler. Color to be approved by the Architect/Engineer.</t>
    </r>
  </si>
  <si>
    <r>
      <t xml:space="preserve">Supply and Apply two coats of special aluminum paint to existing metal </t>
    </r>
    <r>
      <rPr>
        <b/>
        <sz val="11"/>
        <color theme="1"/>
        <rFont val="Calibri"/>
        <family val="2"/>
      </rPr>
      <t>Doors</t>
    </r>
    <r>
      <rPr>
        <sz val="11"/>
        <color theme="1"/>
        <rFont val="Calibri"/>
        <family val="2"/>
      </rPr>
      <t>. Color to be approved by the Architect/Engineer.</t>
    </r>
  </si>
  <si>
    <t>07</t>
  </si>
  <si>
    <t>7.1.1</t>
  </si>
  <si>
    <t>7.1.2</t>
  </si>
  <si>
    <t>7.1.3</t>
  </si>
  <si>
    <t>7.1.4</t>
  </si>
  <si>
    <t>High Dependency Unit (HDU) 1</t>
  </si>
  <si>
    <t>High Dependency Unit (HDU) 2</t>
  </si>
  <si>
    <t>All fixtures, equipment, pipes &amp; materials which are specified below shall be subject to the Engineer's approval, based on Samples, Catalogues and/or Brochures presented by the contractor. Unit Price shall include all the necessary installation accessories and all assistance civil works there to for the proper installation and operation of the sanitary wares, pipe works and any other related sanitary works.</t>
  </si>
  <si>
    <t xml:space="preserve">Supply and Fix 3.0 mm thick Self-smoothing epoxy flooring with Premier and waring coarse. The existing epoxy must be removed and the substrate must be cleaned and freed of all contaminants such as dirt, oil, grease, coatings and surface treatments, etc. Weak concrete must be removed and surface defects such as blowholes and voids must be fully exposed. The concrete or screed substrate has to be primed or levelled in order to achieve an even surface. </t>
  </si>
  <si>
    <t xml:space="preserve">Aluminum doors and windows made of 1.6 mm thick  extruded profiles. The aluminum profiles shall be of approved color with brushed finish cuts. Manufacturing of the doors is subject to the approval of shop drawings to be provided by the Contractor.  Price shall include 6mm thick nonreflective tinted glass, approved type of locks, door stopper  and handle. Hinges, Locks, Profiles and all important accessories  should be approved by the Engineer. 
</t>
  </si>
  <si>
    <t>BILL OF QUANTITY - Black Lion Hospital  NICU Renovation</t>
  </si>
  <si>
    <t>Consultant's estimation for the realization of the civil works is 3 months</t>
  </si>
  <si>
    <t xml:space="preserve">Supply and fix  Shower units made of enameled fiber glass, complete with level controlled mixing valve, approved quality flexible shower head, p-smeel trap and with all other necessary accessories. Size:- 700 x 700 mm      </t>
  </si>
  <si>
    <t>Wall Outlet Terminals, Oxygen</t>
  </si>
  <si>
    <t>Copper tubing, Dia.22mm</t>
  </si>
  <si>
    <t>ml</t>
  </si>
  <si>
    <t>Copper tubing, Dia.12mm</t>
  </si>
  <si>
    <t xml:space="preserve">Copper tube accessories like T, Elbow, direct, etc connectors </t>
  </si>
  <si>
    <t>Pipe Clip, ring</t>
  </si>
  <si>
    <t>Line Valves</t>
  </si>
  <si>
    <t xml:space="preserve">Labor (including all welding and installation material) </t>
  </si>
  <si>
    <t>8.1.2</t>
  </si>
  <si>
    <t>8.1.3</t>
  </si>
  <si>
    <t>8.1.4</t>
  </si>
  <si>
    <t>8.1.5</t>
  </si>
  <si>
    <t>8.1.6</t>
  </si>
  <si>
    <t>Wall Outlet Terminals, Air</t>
  </si>
  <si>
    <t>Wall Outlet Terminals, Vacuum</t>
  </si>
  <si>
    <t>Blender complete with Flow Meter, tubing and pig tails</t>
  </si>
  <si>
    <t>Switch Board</t>
  </si>
  <si>
    <t>6.1</t>
  </si>
  <si>
    <t>6.1.1</t>
  </si>
  <si>
    <t>Surface mounted Distribution Board of metal enclosure MDB-LP with lockable door, complete with bus terminals 200A/3ph, neutral and earth bars consisting of:-</t>
  </si>
  <si>
    <t>1pc RCD of 100mA/4 pole</t>
  </si>
  <si>
    <t>5 pcs MCB of 10A/3ph</t>
  </si>
  <si>
    <t>1 pcs MCB of 16A/3ph</t>
  </si>
  <si>
    <t>5 pcs MCB of 25A/3ph</t>
  </si>
  <si>
    <t>1 pc MCB of 40A/3ph</t>
  </si>
  <si>
    <t>1 pcs MCB of 50A/3ph</t>
  </si>
  <si>
    <t>5 pcs MCB of 63A/3ph</t>
  </si>
  <si>
    <t>1pc main MCCB of 160A/3ph</t>
  </si>
  <si>
    <t>SUB TOTAL GLAZING WORK ETH BIRR</t>
  </si>
  <si>
    <t>1.1.2</t>
  </si>
  <si>
    <t>1.1.3</t>
  </si>
  <si>
    <t>1.1.4</t>
  </si>
  <si>
    <t>1.1.5</t>
  </si>
  <si>
    <t>1.1.6</t>
  </si>
  <si>
    <t>8.3.1</t>
  </si>
  <si>
    <t>8.3.2</t>
  </si>
  <si>
    <t>8.3.3</t>
  </si>
  <si>
    <t>8.3.4</t>
  </si>
  <si>
    <t>8.3.5</t>
  </si>
  <si>
    <t>8.3.6</t>
  </si>
  <si>
    <t>8.3.7</t>
  </si>
  <si>
    <t>8.2.1</t>
  </si>
  <si>
    <t>8.2.2</t>
  </si>
  <si>
    <t>8.2.3</t>
  </si>
  <si>
    <t>8.2.4</t>
  </si>
  <si>
    <t>8.2.5</t>
  </si>
  <si>
    <t>8.2.6</t>
  </si>
  <si>
    <t>Flush mounting socket outlet of 16A 1Phase @+1.20m from FFL</t>
  </si>
  <si>
    <t>All components should be manufactured with the following standards and requirements:                                                                                                                              BS EN 7396-1: Pipeline Systems for Compressed Medical Gases and Vacuum.
BS EN 10524-2: Pressure Regulators.
BS EN 21969 High-Pressure Flexible Connectors.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</si>
</sst>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General_)"/>
    <numFmt numFmtId="166" formatCode="&quot;$&quot;#,##0;[Red]\-&quot;$&quot;#,##0"/>
    <numFmt numFmtId="167" formatCode="_(* #,##0_);_(* \(#,##0\);_(* &quot;-&quot;??_);_(@_)"/>
    <numFmt numFmtId="168" formatCode="&quot; &quot;#,##0.00&quot; &quot;;&quot; (&quot;#,##0.00&quot;)&quot;;&quot; -&quot;00&quot; &quot;;&quot; &quot;@&quot; &quot;"/>
  </numFmts>
  <fonts count="36">
    <font>
      <sz val="11"/>
      <color theme="1"/>
      <name val="Calibri"/>
      <family val="2"/>
      <scheme val="minor"/>
    </font>
    <font>
      <sz val="11"/>
      <color theme="1"/>
      <name val="Calibri"/>
      <family val="2"/>
      <scheme val="minor"/>
    </font>
    <font>
      <sz val="10"/>
      <name val="Arial"/>
      <family val="2"/>
    </font>
    <font>
      <b/>
      <sz val="18"/>
      <color theme="1"/>
      <name val="Tw Cen MT"/>
      <family val="2"/>
    </font>
    <font>
      <sz val="18"/>
      <color theme="1"/>
      <name val="Tw Cen MT"/>
      <family val="2"/>
    </font>
    <font>
      <sz val="10"/>
      <name val="Stylus BT"/>
      <family val="2"/>
    </font>
    <font>
      <b/>
      <sz val="12"/>
      <name val="Calibri"/>
      <family val="2"/>
      <scheme val="minor"/>
    </font>
    <font>
      <sz val="11"/>
      <name val="Calibri"/>
      <family val="2"/>
      <scheme val="minor"/>
    </font>
    <font>
      <b/>
      <sz val="18"/>
      <color theme="1"/>
      <name val="Cambria"/>
      <family val="1"/>
      <scheme val="major"/>
    </font>
    <font>
      <sz val="18"/>
      <color theme="1"/>
      <name val="Cambria"/>
      <family val="1"/>
      <scheme val="major"/>
    </font>
    <font>
      <sz val="18"/>
      <color indexed="8"/>
      <name val="Cambria"/>
      <family val="1"/>
      <scheme val="major"/>
    </font>
    <font>
      <b/>
      <sz val="18"/>
      <color indexed="8"/>
      <name val="Cambria"/>
      <family val="1"/>
      <scheme val="major"/>
    </font>
    <font>
      <b/>
      <sz val="11"/>
      <name val="Calibri"/>
      <family val="2"/>
      <scheme val="minor"/>
    </font>
    <font>
      <sz val="8"/>
      <name val="Calibri"/>
      <family val="2"/>
      <scheme val="minor"/>
    </font>
    <font>
      <sz val="11"/>
      <color rgb="FFFF0000"/>
      <name val="Calibri"/>
      <family val="2"/>
      <scheme val="minor"/>
    </font>
    <font>
      <sz val="11"/>
      <color rgb="FF000000"/>
      <name val="Calibri"/>
      <family val="2"/>
    </font>
    <font>
      <sz val="11"/>
      <color theme="1"/>
      <name val="Calibri"/>
      <family val="2"/>
      <charset val="1"/>
      <scheme val="minor"/>
    </font>
    <font>
      <b/>
      <sz val="20"/>
      <name val="Garamond"/>
      <family val="1"/>
    </font>
    <font>
      <b/>
      <sz val="12"/>
      <name val="Garamond"/>
      <family val="1"/>
    </font>
    <font>
      <sz val="10"/>
      <name val="Garamond"/>
      <family val="1"/>
    </font>
    <font>
      <sz val="12"/>
      <name val="Garamond"/>
      <family val="1"/>
    </font>
    <font>
      <sz val="11"/>
      <name val="Garamond"/>
      <family val="1"/>
    </font>
    <font>
      <sz val="20"/>
      <name val="Garamond"/>
      <family val="1"/>
    </font>
    <font>
      <b/>
      <sz val="12"/>
      <color theme="1"/>
      <name val="Garamond"/>
      <family val="1"/>
    </font>
    <font>
      <b/>
      <sz val="11"/>
      <name val="Garamond"/>
      <family val="1"/>
    </font>
    <font>
      <b/>
      <sz val="14"/>
      <name val="Garamond"/>
      <family val="1"/>
    </font>
    <font>
      <sz val="10"/>
      <color rgb="FF000000"/>
      <name val="Times New Roman"/>
      <family val="1"/>
    </font>
    <font>
      <sz val="12"/>
      <color rgb="FF000000"/>
      <name val="Garamond"/>
      <family val="1"/>
    </font>
    <font>
      <sz val="12"/>
      <color rgb="FFFF0000"/>
      <name val="Garamond"/>
      <family val="1"/>
    </font>
    <font>
      <sz val="11"/>
      <color theme="1"/>
      <name val="Calibri"/>
      <family val="2"/>
    </font>
    <font>
      <b/>
      <sz val="11"/>
      <color theme="1"/>
      <name val="Calibri"/>
      <family val="2"/>
    </font>
    <font>
      <sz val="11"/>
      <color rgb="FF0070C0"/>
      <name val="Calibri"/>
      <family val="2"/>
      <scheme val="minor"/>
    </font>
    <font>
      <u/>
      <sz val="11"/>
      <color rgb="FF000000"/>
      <name val="Calibri"/>
      <family val="2"/>
    </font>
    <font>
      <sz val="10"/>
      <color theme="1"/>
      <name val="Calibri"/>
      <family val="2"/>
    </font>
    <font>
      <vertAlign val="superscript"/>
      <sz val="11"/>
      <color theme="1"/>
      <name val="Calibri"/>
      <family val="2"/>
    </font>
    <font>
      <sz val="11"/>
      <color theme="1"/>
      <name val="Garamond"/>
      <family val="1"/>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s>
  <borders count="39">
    <border>
      <left/>
      <right/>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auto="1"/>
      </left>
      <right style="medium">
        <color auto="1"/>
      </right>
      <top/>
      <bottom style="hair">
        <color indexed="64"/>
      </bottom>
      <diagonal/>
    </border>
    <border>
      <left style="medium">
        <color auto="1"/>
      </left>
      <right style="medium">
        <color auto="1"/>
      </right>
      <top style="hair">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medium">
        <color auto="1"/>
      </right>
      <top style="hair">
        <color auto="1"/>
      </top>
      <bottom/>
      <diagonal/>
    </border>
    <border>
      <left style="medium">
        <color indexed="64"/>
      </left>
      <right style="medium">
        <color auto="1"/>
      </right>
      <top style="medium">
        <color indexed="64"/>
      </top>
      <bottom style="hair">
        <color indexed="64"/>
      </bottom>
      <diagonal/>
    </border>
    <border>
      <left style="thick">
        <color auto="1"/>
      </left>
      <right/>
      <top style="thick">
        <color auto="1"/>
      </top>
      <bottom/>
      <diagonal/>
    </border>
    <border>
      <left/>
      <right/>
      <top style="thick">
        <color indexed="64"/>
      </top>
      <bottom/>
      <diagonal/>
    </border>
    <border>
      <left/>
      <right style="thick">
        <color auto="1"/>
      </right>
      <top style="thick">
        <color auto="1"/>
      </top>
      <bottom/>
      <diagonal/>
    </border>
    <border>
      <left style="thick">
        <color indexed="64"/>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auto="1"/>
      </right>
      <top style="medium">
        <color indexed="64"/>
      </top>
      <bottom style="hair">
        <color indexed="64"/>
      </bottom>
      <diagonal/>
    </border>
    <border>
      <left style="medium">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indexed="64"/>
      </left>
      <right style="medium">
        <color indexed="64"/>
      </right>
      <top style="hair">
        <color rgb="FF000000"/>
      </top>
      <bottom/>
      <diagonal/>
    </border>
    <border>
      <left/>
      <right/>
      <top/>
      <bottom style="hair">
        <color rgb="FF000000"/>
      </bottom>
      <diagonal/>
    </border>
    <border>
      <left style="medium">
        <color rgb="FF000000"/>
      </left>
      <right style="medium">
        <color rgb="FF000000"/>
      </right>
      <top/>
      <bottom style="hair">
        <color rgb="FF000000"/>
      </bottom>
      <diagonal/>
    </border>
    <border>
      <left style="medium">
        <color rgb="FF000000"/>
      </left>
      <right/>
      <top style="hair">
        <color rgb="FF000000"/>
      </top>
      <bottom/>
      <diagonal/>
    </border>
    <border>
      <left style="medium">
        <color rgb="FF000000"/>
      </left>
      <right style="medium">
        <color rgb="FF000000"/>
      </right>
      <top style="hair">
        <color rgb="FF000000"/>
      </top>
      <bottom/>
      <diagonal/>
    </border>
    <border>
      <left style="medium">
        <color indexed="64"/>
      </left>
      <right/>
      <top/>
      <bottom style="hair">
        <color indexed="64"/>
      </bottom>
      <diagonal/>
    </border>
  </borders>
  <cellStyleXfs count="63">
    <xf numFmtId="0" fontId="0" fillId="0" borderId="0"/>
    <xf numFmtId="164" fontId="1"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5" fillId="0" borderId="0"/>
    <xf numFmtId="0" fontId="1" fillId="0" borderId="0"/>
    <xf numFmtId="0" fontId="15" fillId="0" borderId="0"/>
    <xf numFmtId="0" fontId="1" fillId="0" borderId="0"/>
    <xf numFmtId="168" fontId="15"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6" fillId="0" borderId="0"/>
    <xf numFmtId="164" fontId="2" fillId="0" borderId="0" applyFont="0" applyFill="0" applyBorder="0" applyAlignment="0" applyProtection="0"/>
    <xf numFmtId="0" fontId="26" fillId="0" borderId="0"/>
  </cellStyleXfs>
  <cellXfs count="180">
    <xf numFmtId="0" fontId="0" fillId="0" borderId="0" xfId="0"/>
    <xf numFmtId="0" fontId="4" fillId="0" borderId="0" xfId="8" applyFont="1"/>
    <xf numFmtId="0" fontId="10" fillId="0" borderId="7" xfId="8" applyFont="1" applyBorder="1"/>
    <xf numFmtId="0" fontId="8" fillId="0" borderId="8" xfId="8" applyFont="1" applyBorder="1" applyAlignment="1">
      <alignment horizontal="center"/>
    </xf>
    <xf numFmtId="164" fontId="9" fillId="0" borderId="11" xfId="1" applyFont="1" applyBorder="1" applyAlignment="1"/>
    <xf numFmtId="0" fontId="10" fillId="0" borderId="9" xfId="8" applyFont="1" applyBorder="1"/>
    <xf numFmtId="0" fontId="8" fillId="0" borderId="0" xfId="8" applyFont="1" applyAlignment="1">
      <alignment horizontal="right"/>
    </xf>
    <xf numFmtId="0" fontId="8" fillId="0" borderId="12" xfId="8" applyFont="1" applyBorder="1" applyAlignment="1">
      <alignment horizontal="center"/>
    </xf>
    <xf numFmtId="164" fontId="8" fillId="0" borderId="13" xfId="1" applyFont="1" applyFill="1" applyBorder="1" applyAlignment="1"/>
    <xf numFmtId="0" fontId="7" fillId="0" borderId="0" xfId="0" applyFont="1"/>
    <xf numFmtId="0" fontId="0" fillId="2" borderId="0" xfId="0" applyFill="1"/>
    <xf numFmtId="0" fontId="3" fillId="0" borderId="0" xfId="8" applyFont="1" applyAlignment="1">
      <alignment horizontal="center"/>
    </xf>
    <xf numFmtId="0" fontId="12" fillId="3" borderId="3" xfId="0" applyFont="1" applyFill="1" applyBorder="1" applyAlignment="1">
      <alignment horizontal="center" vertical="center" wrapText="1"/>
    </xf>
    <xf numFmtId="0" fontId="12" fillId="0" borderId="6" xfId="0" applyFont="1" applyBorder="1" applyAlignment="1">
      <alignment horizontal="left" vertical="center"/>
    </xf>
    <xf numFmtId="165" fontId="7" fillId="0" borderId="6" xfId="0" applyNumberFormat="1" applyFont="1" applyBorder="1" applyAlignment="1">
      <alignment horizontal="left"/>
    </xf>
    <xf numFmtId="0" fontId="12" fillId="0" borderId="0" xfId="0" applyFont="1" applyAlignment="1">
      <alignment horizontal="left"/>
    </xf>
    <xf numFmtId="0" fontId="7" fillId="0" borderId="6" xfId="5" applyFont="1" applyBorder="1" applyAlignment="1">
      <alignment horizontal="center" wrapText="1"/>
    </xf>
    <xf numFmtId="0" fontId="12" fillId="0" borderId="6" xfId="0" applyFont="1" applyBorder="1" applyAlignment="1">
      <alignment horizontal="left" vertical="center" wrapText="1"/>
    </xf>
    <xf numFmtId="164" fontId="4" fillId="0" borderId="0" xfId="8" applyNumberFormat="1" applyFont="1"/>
    <xf numFmtId="0" fontId="7" fillId="3" borderId="3" xfId="0" applyFont="1" applyFill="1" applyBorder="1" applyAlignment="1">
      <alignment horizontal="center" vertical="center" wrapText="1"/>
    </xf>
    <xf numFmtId="164" fontId="12" fillId="3" borderId="3" xfId="1" applyFont="1" applyFill="1" applyBorder="1" applyAlignment="1">
      <alignment horizontal="center" vertical="center" wrapText="1"/>
    </xf>
    <xf numFmtId="0" fontId="7" fillId="0" borderId="6" xfId="0" applyFont="1" applyBorder="1" applyAlignment="1">
      <alignment horizontal="center"/>
    </xf>
    <xf numFmtId="164" fontId="7" fillId="0" borderId="0" xfId="1" applyFont="1" applyBorder="1"/>
    <xf numFmtId="164" fontId="7" fillId="0" borderId="0" xfId="1" applyFont="1" applyFill="1" applyBorder="1"/>
    <xf numFmtId="0" fontId="7" fillId="0" borderId="0" xfId="0" applyFont="1" applyAlignment="1">
      <alignment horizontal="center"/>
    </xf>
    <xf numFmtId="164" fontId="4" fillId="0" borderId="0" xfId="1" applyFont="1"/>
    <xf numFmtId="49" fontId="12" fillId="0" borderId="6" xfId="0" quotePrefix="1" applyNumberFormat="1" applyFont="1" applyBorder="1" applyAlignment="1">
      <alignment horizontal="center" vertical="top"/>
    </xf>
    <xf numFmtId="0" fontId="7" fillId="0" borderId="0" xfId="8" applyFont="1"/>
    <xf numFmtId="164" fontId="7" fillId="0" borderId="0" xfId="10" applyFont="1" applyBorder="1" applyAlignment="1">
      <alignment horizontal="center"/>
    </xf>
    <xf numFmtId="0" fontId="1" fillId="0" borderId="0" xfId="60" applyFont="1"/>
    <xf numFmtId="0" fontId="7" fillId="0" borderId="2" xfId="0" applyFont="1" applyBorder="1" applyAlignment="1">
      <alignment vertical="top" wrapText="1"/>
    </xf>
    <xf numFmtId="0" fontId="18" fillId="0" borderId="0" xfId="33" applyFont="1"/>
    <xf numFmtId="0" fontId="19" fillId="4" borderId="19" xfId="7" applyFont="1" applyFill="1" applyBorder="1"/>
    <xf numFmtId="0" fontId="19" fillId="4" borderId="0" xfId="7" applyFont="1" applyFill="1"/>
    <xf numFmtId="0" fontId="19" fillId="4" borderId="20" xfId="7" applyFont="1" applyFill="1" applyBorder="1"/>
    <xf numFmtId="0" fontId="20" fillId="4" borderId="21" xfId="7" applyFont="1" applyFill="1" applyBorder="1"/>
    <xf numFmtId="0" fontId="20" fillId="4" borderId="22" xfId="7" applyFont="1" applyFill="1" applyBorder="1"/>
    <xf numFmtId="0" fontId="20" fillId="4" borderId="23" xfId="7" applyFont="1" applyFill="1" applyBorder="1"/>
    <xf numFmtId="0" fontId="21" fillId="4" borderId="16" xfId="7" applyFont="1" applyFill="1" applyBorder="1"/>
    <xf numFmtId="0" fontId="21" fillId="4" borderId="17" xfId="7" applyFont="1" applyFill="1" applyBorder="1"/>
    <xf numFmtId="0" fontId="21" fillId="4" borderId="18" xfId="7" applyFont="1" applyFill="1" applyBorder="1"/>
    <xf numFmtId="0" fontId="21" fillId="4" borderId="21" xfId="7" applyFont="1" applyFill="1" applyBorder="1"/>
    <xf numFmtId="0" fontId="21" fillId="4" borderId="22" xfId="7" applyFont="1" applyFill="1" applyBorder="1"/>
    <xf numFmtId="0" fontId="21" fillId="4" borderId="23" xfId="7" applyFont="1" applyFill="1" applyBorder="1"/>
    <xf numFmtId="0" fontId="21" fillId="4" borderId="16" xfId="7" applyFont="1" applyFill="1" applyBorder="1" applyAlignment="1">
      <alignment horizontal="center"/>
    </xf>
    <xf numFmtId="0" fontId="21" fillId="4" borderId="17" xfId="7" applyFont="1" applyFill="1" applyBorder="1" applyAlignment="1">
      <alignment horizontal="center"/>
    </xf>
    <xf numFmtId="0" fontId="21" fillId="4" borderId="18" xfId="7" applyFont="1" applyFill="1" applyBorder="1" applyAlignment="1">
      <alignment horizontal="center"/>
    </xf>
    <xf numFmtId="0" fontId="23" fillId="0" borderId="0" xfId="33" applyFont="1"/>
    <xf numFmtId="0" fontId="21" fillId="4" borderId="21" xfId="7" applyFont="1" applyFill="1" applyBorder="1" applyAlignment="1">
      <alignment horizontal="center"/>
    </xf>
    <xf numFmtId="0" fontId="21" fillId="4" borderId="22" xfId="7" applyFont="1" applyFill="1" applyBorder="1" applyAlignment="1">
      <alignment horizontal="center"/>
    </xf>
    <xf numFmtId="0" fontId="21" fillId="4" borderId="23" xfId="7" applyFont="1" applyFill="1" applyBorder="1" applyAlignment="1">
      <alignment horizontal="center"/>
    </xf>
    <xf numFmtId="0" fontId="24" fillId="0" borderId="0" xfId="33" applyFont="1"/>
    <xf numFmtId="0" fontId="20" fillId="4" borderId="16" xfId="7" applyFont="1" applyFill="1" applyBorder="1" applyAlignment="1">
      <alignment horizontal="left"/>
    </xf>
    <xf numFmtId="0" fontId="20" fillId="4" borderId="17" xfId="7" applyFont="1" applyFill="1" applyBorder="1" applyAlignment="1">
      <alignment horizontal="left"/>
    </xf>
    <xf numFmtId="0" fontId="20" fillId="4" borderId="18" xfId="7" applyFont="1" applyFill="1" applyBorder="1" applyAlignment="1">
      <alignment horizontal="left"/>
    </xf>
    <xf numFmtId="0" fontId="19" fillId="4" borderId="19" xfId="7" applyFont="1" applyFill="1" applyBorder="1" applyAlignment="1">
      <alignment horizontal="left"/>
    </xf>
    <xf numFmtId="0" fontId="19" fillId="4" borderId="0" xfId="7" applyFont="1" applyFill="1" applyAlignment="1">
      <alignment horizontal="left"/>
    </xf>
    <xf numFmtId="0" fontId="19" fillId="4" borderId="20" xfId="7" applyFont="1" applyFill="1" applyBorder="1" applyAlignment="1">
      <alignment horizontal="left"/>
    </xf>
    <xf numFmtId="0" fontId="24" fillId="0" borderId="0" xfId="33" applyFont="1" applyAlignment="1">
      <alignment wrapText="1"/>
    </xf>
    <xf numFmtId="0" fontId="20" fillId="0" borderId="0" xfId="62" applyFont="1" applyAlignment="1">
      <alignment vertical="top" wrapText="1"/>
    </xf>
    <xf numFmtId="0" fontId="27" fillId="0" borderId="0" xfId="62" applyFont="1" applyAlignment="1">
      <alignment vertical="top"/>
    </xf>
    <xf numFmtId="0" fontId="18" fillId="0" borderId="0" xfId="62" applyFont="1" applyAlignment="1">
      <alignment vertical="top" wrapText="1"/>
    </xf>
    <xf numFmtId="0" fontId="27" fillId="0" borderId="0" xfId="62" applyFont="1" applyAlignment="1">
      <alignment vertical="top" wrapText="1"/>
    </xf>
    <xf numFmtId="164" fontId="14" fillId="0" borderId="0" xfId="10" applyFont="1" applyBorder="1" applyAlignment="1">
      <alignment horizontal="center"/>
    </xf>
    <xf numFmtId="0" fontId="6" fillId="0" borderId="15" xfId="8" applyFont="1" applyBorder="1" applyAlignment="1">
      <alignment vertical="center" wrapText="1"/>
    </xf>
    <xf numFmtId="0" fontId="7" fillId="0" borderId="15" xfId="8" applyFont="1" applyBorder="1" applyAlignment="1">
      <alignment horizontal="center" vertical="center"/>
    </xf>
    <xf numFmtId="0" fontId="7" fillId="0" borderId="6" xfId="8" applyFont="1" applyBorder="1" applyAlignment="1">
      <alignment horizontal="center" vertical="center"/>
    </xf>
    <xf numFmtId="1" fontId="7" fillId="0" borderId="15" xfId="8" applyNumberFormat="1" applyFont="1" applyBorder="1" applyAlignment="1">
      <alignment horizontal="center" vertical="center"/>
    </xf>
    <xf numFmtId="164" fontId="7" fillId="0" borderId="15" xfId="55" applyFont="1" applyBorder="1" applyAlignment="1">
      <alignment horizontal="center" vertical="center"/>
    </xf>
    <xf numFmtId="164" fontId="7" fillId="0" borderId="6" xfId="10" applyFont="1" applyFill="1" applyBorder="1" applyAlignment="1">
      <alignment horizontal="center" vertical="center"/>
    </xf>
    <xf numFmtId="4" fontId="7" fillId="0" borderId="15" xfId="8" applyNumberFormat="1" applyFont="1" applyBorder="1" applyAlignment="1">
      <alignment horizontal="center" vertical="center"/>
    </xf>
    <xf numFmtId="167" fontId="7" fillId="0" borderId="6" xfId="10" applyNumberFormat="1" applyFont="1" applyFill="1" applyBorder="1" applyAlignment="1">
      <alignment horizontal="center" vertical="center"/>
    </xf>
    <xf numFmtId="0" fontId="31" fillId="0" borderId="5" xfId="8" applyFont="1" applyBorder="1" applyAlignment="1">
      <alignment horizontal="center" vertical="center"/>
    </xf>
    <xf numFmtId="1" fontId="31" fillId="0" borderId="5" xfId="8" applyNumberFormat="1" applyFont="1" applyBorder="1" applyAlignment="1">
      <alignment horizontal="center" vertical="center"/>
    </xf>
    <xf numFmtId="4" fontId="31" fillId="0" borderId="5" xfId="8" applyNumberFormat="1" applyFont="1" applyBorder="1" applyAlignment="1">
      <alignment horizontal="center" vertical="center"/>
    </xf>
    <xf numFmtId="0" fontId="31" fillId="0" borderId="0" xfId="0" applyFont="1"/>
    <xf numFmtId="4" fontId="29" fillId="5" borderId="28" xfId="0" applyNumberFormat="1" applyFont="1" applyFill="1" applyBorder="1" applyAlignment="1">
      <alignment horizontal="center" vertical="center"/>
    </xf>
    <xf numFmtId="164" fontId="29" fillId="0" borderId="26" xfId="0" applyNumberFormat="1" applyFont="1" applyBorder="1" applyAlignment="1">
      <alignment horizontal="center" vertical="center"/>
    </xf>
    <xf numFmtId="164" fontId="29" fillId="0" borderId="27" xfId="0" applyNumberFormat="1" applyFont="1" applyBorder="1" applyAlignment="1">
      <alignment horizontal="center" vertical="center"/>
    </xf>
    <xf numFmtId="0" fontId="33" fillId="0" borderId="0" xfId="50" applyFont="1" applyAlignment="1">
      <alignment vertical="center"/>
    </xf>
    <xf numFmtId="164" fontId="29" fillId="0" borderId="0" xfId="50" applyNumberFormat="1" applyFont="1" applyAlignment="1">
      <alignment vertical="center"/>
    </xf>
    <xf numFmtId="0" fontId="1" fillId="0" borderId="0" xfId="50"/>
    <xf numFmtId="4" fontId="29" fillId="0" borderId="0" xfId="50" applyNumberFormat="1" applyFont="1" applyAlignment="1">
      <alignment horizontal="right"/>
    </xf>
    <xf numFmtId="0" fontId="29" fillId="0" borderId="0" xfId="50" applyFont="1"/>
    <xf numFmtId="164" fontId="29" fillId="0" borderId="0" xfId="50" applyNumberFormat="1" applyFont="1" applyAlignment="1">
      <alignment horizontal="center"/>
    </xf>
    <xf numFmtId="0" fontId="33" fillId="0" borderId="0" xfId="0" applyFont="1" applyAlignment="1">
      <alignment vertical="center"/>
    </xf>
    <xf numFmtId="164" fontId="29" fillId="0" borderId="0" xfId="0" applyNumberFormat="1" applyFont="1" applyAlignment="1">
      <alignment vertical="center"/>
    </xf>
    <xf numFmtId="0" fontId="6" fillId="0" borderId="30" xfId="8" applyFont="1" applyBorder="1" applyAlignment="1">
      <alignment vertical="center" wrapText="1"/>
    </xf>
    <xf numFmtId="0" fontId="12" fillId="0" borderId="3" xfId="0" applyFont="1" applyBorder="1" applyAlignment="1">
      <alignment horizontal="right" vertical="center"/>
    </xf>
    <xf numFmtId="165" fontId="7" fillId="0" borderId="3" xfId="0" applyNumberFormat="1" applyFont="1" applyBorder="1" applyAlignment="1">
      <alignment horizontal="left"/>
    </xf>
    <xf numFmtId="0" fontId="29" fillId="0" borderId="0" xfId="0" applyFont="1"/>
    <xf numFmtId="0" fontId="12" fillId="0" borderId="6" xfId="0" applyFont="1" applyBorder="1" applyAlignment="1">
      <alignment horizontal="left" vertical="top"/>
    </xf>
    <xf numFmtId="0" fontId="29" fillId="0" borderId="29" xfId="0" applyFont="1" applyBorder="1" applyAlignment="1">
      <alignment horizontal="center"/>
    </xf>
    <xf numFmtId="0" fontId="29" fillId="0" borderId="29" xfId="0" applyFont="1" applyBorder="1" applyAlignment="1">
      <alignment vertical="top" wrapText="1"/>
    </xf>
    <xf numFmtId="0" fontId="35" fillId="0" borderId="0" xfId="0" applyFont="1"/>
    <xf numFmtId="49" fontId="12" fillId="3" borderId="3" xfId="0" applyNumberFormat="1" applyFont="1" applyFill="1" applyBorder="1" applyAlignment="1">
      <alignment horizontal="center" vertical="top" wrapText="1"/>
    </xf>
    <xf numFmtId="0" fontId="7" fillId="0" borderId="14" xfId="0" applyFont="1" applyBorder="1" applyAlignment="1">
      <alignment horizontal="center" vertical="center"/>
    </xf>
    <xf numFmtId="49" fontId="29" fillId="0" borderId="29" xfId="0" applyNumberFormat="1" applyFont="1" applyBorder="1" applyAlignment="1">
      <alignment horizontal="center" vertical="top" wrapText="1"/>
    </xf>
    <xf numFmtId="0" fontId="12" fillId="0" borderId="6" xfId="29" applyFont="1" applyBorder="1" applyAlignment="1">
      <alignment horizontal="center" vertical="top"/>
    </xf>
    <xf numFmtId="0" fontId="7" fillId="0" borderId="1" xfId="0" applyFont="1" applyBorder="1" applyAlignment="1">
      <alignment horizontal="center" vertical="center"/>
    </xf>
    <xf numFmtId="165" fontId="7" fillId="0" borderId="6" xfId="0" applyNumberFormat="1" applyFont="1" applyBorder="1" applyAlignment="1">
      <alignment horizontal="left" vertical="top"/>
    </xf>
    <xf numFmtId="49" fontId="12" fillId="0" borderId="3" xfId="0" quotePrefix="1" applyNumberFormat="1" applyFont="1" applyBorder="1" applyAlignment="1">
      <alignment horizontal="right" vertical="top"/>
    </xf>
    <xf numFmtId="49" fontId="29" fillId="0" borderId="26" xfId="0" applyNumberFormat="1" applyFont="1" applyBorder="1" applyAlignment="1">
      <alignment horizontal="center" vertical="top" wrapText="1"/>
    </xf>
    <xf numFmtId="0" fontId="29" fillId="0" borderId="32" xfId="0" applyFont="1" applyBorder="1" applyAlignment="1">
      <alignment horizontal="left" vertical="top" wrapText="1"/>
    </xf>
    <xf numFmtId="0" fontId="29" fillId="0" borderId="29" xfId="0" applyFont="1" applyBorder="1" applyAlignment="1">
      <alignment horizontal="center" vertical="top"/>
    </xf>
    <xf numFmtId="164" fontId="29" fillId="0" borderId="0" xfId="0" applyNumberFormat="1" applyFont="1" applyAlignment="1">
      <alignment horizontal="center"/>
    </xf>
    <xf numFmtId="49" fontId="30" fillId="0" borderId="26" xfId="0" quotePrefix="1" applyNumberFormat="1" applyFont="1" applyBorder="1" applyAlignment="1">
      <alignment horizontal="center" vertical="top"/>
    </xf>
    <xf numFmtId="0" fontId="30" fillId="0" borderId="32" xfId="0" applyFont="1" applyBorder="1" applyAlignment="1">
      <alignment horizontal="left" vertical="center"/>
    </xf>
    <xf numFmtId="165" fontId="29" fillId="0" borderId="29" xfId="0" applyNumberFormat="1" applyFont="1" applyBorder="1" applyAlignment="1">
      <alignment horizontal="left"/>
    </xf>
    <xf numFmtId="0" fontId="30" fillId="0" borderId="0" xfId="0" applyFont="1" applyAlignment="1">
      <alignment horizontal="left"/>
    </xf>
    <xf numFmtId="0" fontId="30" fillId="0" borderId="26" xfId="0" quotePrefix="1" applyFont="1" applyBorder="1" applyAlignment="1">
      <alignment horizontal="center" vertical="top"/>
    </xf>
    <xf numFmtId="49" fontId="30" fillId="0" borderId="33" xfId="0" applyNumberFormat="1" applyFont="1" applyBorder="1" applyAlignment="1">
      <alignment horizontal="left" vertical="top"/>
    </xf>
    <xf numFmtId="0" fontId="29" fillId="0" borderId="34" xfId="0" applyFont="1" applyBorder="1" applyAlignment="1">
      <alignment horizontal="left" vertical="top" wrapText="1"/>
    </xf>
    <xf numFmtId="165" fontId="29" fillId="0" borderId="35" xfId="0" applyNumberFormat="1" applyFont="1" applyBorder="1" applyAlignment="1">
      <alignment horizontal="left"/>
    </xf>
    <xf numFmtId="49" fontId="30" fillId="0" borderId="33" xfId="0" quotePrefix="1" applyNumberFormat="1" applyFont="1" applyBorder="1" applyAlignment="1">
      <alignment horizontal="right" vertical="top"/>
    </xf>
    <xf numFmtId="0" fontId="30" fillId="0" borderId="34" xfId="0" applyFont="1" applyBorder="1" applyAlignment="1">
      <alignment horizontal="left" vertical="center" wrapText="1"/>
    </xf>
    <xf numFmtId="165" fontId="30" fillId="0" borderId="35" xfId="0" applyNumberFormat="1" applyFont="1" applyBorder="1" applyAlignment="1">
      <alignment horizontal="left"/>
    </xf>
    <xf numFmtId="49" fontId="29" fillId="0" borderId="33" xfId="0" quotePrefix="1" applyNumberFormat="1" applyFont="1" applyBorder="1" applyAlignment="1">
      <alignment horizontal="right" vertical="top"/>
    </xf>
    <xf numFmtId="0" fontId="29" fillId="0" borderId="0" xfId="0" applyFont="1" applyAlignment="1">
      <alignment horizontal="left"/>
    </xf>
    <xf numFmtId="164" fontId="29" fillId="0" borderId="0" xfId="0" applyNumberFormat="1" applyFont="1" applyAlignment="1">
      <alignment horizontal="left"/>
    </xf>
    <xf numFmtId="0" fontId="7" fillId="0" borderId="38" xfId="0" applyFont="1" applyBorder="1" applyAlignment="1">
      <alignment horizontal="left" vertical="top" wrapText="1"/>
    </xf>
    <xf numFmtId="0" fontId="7" fillId="0" borderId="6" xfId="29" applyFont="1" applyBorder="1" applyAlignment="1">
      <alignment horizontal="center" vertical="top"/>
    </xf>
    <xf numFmtId="164" fontId="12" fillId="0" borderId="6" xfId="1" applyFont="1" applyFill="1" applyBorder="1" applyAlignment="1" applyProtection="1">
      <alignment horizontal="center" vertical="center"/>
    </xf>
    <xf numFmtId="164" fontId="12" fillId="0" borderId="6" xfId="1" applyFont="1" applyFill="1" applyBorder="1" applyAlignment="1">
      <alignment horizontal="center" vertical="center"/>
    </xf>
    <xf numFmtId="164" fontId="7" fillId="0" borderId="6" xfId="1" applyFont="1" applyFill="1" applyBorder="1" applyAlignment="1">
      <alignment horizontal="center" vertical="center"/>
    </xf>
    <xf numFmtId="164" fontId="7" fillId="0" borderId="2" xfId="1" applyFont="1" applyFill="1" applyBorder="1" applyAlignment="1">
      <alignment horizontal="center" vertical="center" wrapText="1"/>
    </xf>
    <xf numFmtId="164" fontId="7" fillId="0" borderId="6" xfId="1" applyFont="1" applyFill="1" applyBorder="1" applyAlignment="1">
      <alignment horizontal="center" vertical="center" wrapText="1"/>
    </xf>
    <xf numFmtId="164" fontId="12" fillId="0" borderId="3" xfId="1" applyFont="1" applyFill="1" applyBorder="1" applyAlignment="1" applyProtection="1">
      <alignment horizontal="center" vertical="center"/>
    </xf>
    <xf numFmtId="164" fontId="12" fillId="0" borderId="3" xfId="1" applyFont="1" applyFill="1" applyBorder="1" applyAlignment="1">
      <alignment horizontal="center" vertical="center"/>
    </xf>
    <xf numFmtId="164" fontId="30" fillId="0" borderId="29" xfId="0" applyNumberFormat="1" applyFont="1" applyBorder="1" applyAlignment="1">
      <alignment horizontal="center" vertical="center"/>
    </xf>
    <xf numFmtId="164" fontId="30" fillId="0" borderId="35" xfId="0" applyNumberFormat="1" applyFont="1" applyBorder="1" applyAlignment="1">
      <alignment horizontal="center" vertical="center"/>
    </xf>
    <xf numFmtId="164" fontId="30" fillId="0" borderId="36" xfId="0" applyNumberFormat="1" applyFont="1" applyBorder="1" applyAlignment="1">
      <alignment horizontal="center" vertical="center"/>
    </xf>
    <xf numFmtId="164" fontId="30" fillId="0" borderId="37" xfId="0" applyNumberFormat="1" applyFont="1" applyBorder="1" applyAlignment="1">
      <alignment horizontal="center" vertical="center"/>
    </xf>
    <xf numFmtId="164" fontId="29" fillId="0" borderId="35" xfId="0" applyNumberFormat="1" applyFont="1" applyBorder="1" applyAlignment="1">
      <alignment horizontal="center" vertical="center"/>
    </xf>
    <xf numFmtId="164" fontId="29" fillId="0" borderId="37" xfId="0" applyNumberFormat="1" applyFont="1" applyBorder="1" applyAlignment="1">
      <alignment horizontal="center" vertical="center"/>
    </xf>
    <xf numFmtId="164" fontId="29" fillId="0" borderId="29" xfId="0" applyNumberFormat="1" applyFont="1" applyBorder="1" applyAlignment="1">
      <alignment horizontal="center" vertical="center"/>
    </xf>
    <xf numFmtId="164" fontId="29" fillId="0" borderId="31" xfId="0" applyNumberFormat="1" applyFont="1" applyBorder="1" applyAlignment="1">
      <alignment horizontal="center" vertical="center" wrapText="1"/>
    </xf>
    <xf numFmtId="164" fontId="29" fillId="0" borderId="29" xfId="0" applyNumberFormat="1" applyFont="1" applyBorder="1" applyAlignment="1">
      <alignment horizontal="center" vertical="center" wrapText="1"/>
    </xf>
    <xf numFmtId="164" fontId="7" fillId="0" borderId="0" xfId="1" applyFont="1" applyFill="1" applyBorder="1" applyAlignment="1">
      <alignment horizontal="center" vertical="center"/>
    </xf>
    <xf numFmtId="4" fontId="29" fillId="0" borderId="28" xfId="0" applyNumberFormat="1" applyFont="1" applyBorder="1" applyAlignment="1">
      <alignment horizontal="center" vertical="center"/>
    </xf>
    <xf numFmtId="0" fontId="7" fillId="0" borderId="6" xfId="0" applyFont="1" applyBorder="1" applyAlignment="1">
      <alignment horizontal="center" vertical="center"/>
    </xf>
    <xf numFmtId="49" fontId="12" fillId="0" borderId="6" xfId="0" applyNumberFormat="1" applyFont="1" applyBorder="1" applyAlignment="1">
      <alignment horizontal="center" vertical="top"/>
    </xf>
    <xf numFmtId="0" fontId="30" fillId="0" borderId="29" xfId="0" applyFont="1" applyBorder="1" applyAlignment="1">
      <alignment vertical="top" wrapText="1"/>
    </xf>
    <xf numFmtId="49" fontId="7" fillId="0" borderId="6" xfId="0" applyNumberFormat="1" applyFont="1" applyBorder="1" applyAlignment="1">
      <alignment horizontal="center" vertical="top"/>
    </xf>
    <xf numFmtId="0" fontId="30" fillId="0" borderId="32" xfId="0" applyFont="1" applyBorder="1" applyAlignment="1">
      <alignment horizontal="left" vertical="top" wrapText="1"/>
    </xf>
    <xf numFmtId="49" fontId="30" fillId="0" borderId="26" xfId="0" applyNumberFormat="1" applyFont="1" applyBorder="1" applyAlignment="1">
      <alignment horizontal="center" vertical="top" wrapText="1"/>
    </xf>
    <xf numFmtId="0" fontId="21" fillId="4" borderId="16" xfId="7" applyFont="1" applyFill="1" applyBorder="1" applyAlignment="1">
      <alignment horizontal="center"/>
    </xf>
    <xf numFmtId="0" fontId="21" fillId="4" borderId="17" xfId="7" applyFont="1" applyFill="1" applyBorder="1" applyAlignment="1">
      <alignment horizontal="center"/>
    </xf>
    <xf numFmtId="0" fontId="21" fillId="4" borderId="19" xfId="7" applyFont="1" applyFill="1" applyBorder="1" applyAlignment="1">
      <alignment horizontal="center"/>
    </xf>
    <xf numFmtId="0" fontId="21" fillId="4" borderId="0" xfId="7" applyFont="1" applyFill="1" applyAlignment="1">
      <alignment horizontal="center"/>
    </xf>
    <xf numFmtId="0" fontId="21" fillId="4" borderId="21" xfId="7" applyFont="1" applyFill="1" applyBorder="1" applyAlignment="1">
      <alignment horizontal="center"/>
    </xf>
    <xf numFmtId="0" fontId="21" fillId="4" borderId="22" xfId="7" applyFont="1" applyFill="1" applyBorder="1" applyAlignment="1">
      <alignment horizontal="center"/>
    </xf>
    <xf numFmtId="0" fontId="25" fillId="4" borderId="19" xfId="7" applyFont="1" applyFill="1" applyBorder="1" applyAlignment="1">
      <alignment horizontal="right" vertical="center"/>
    </xf>
    <xf numFmtId="0" fontId="25" fillId="4" borderId="0" xfId="7" applyFont="1" applyFill="1" applyAlignment="1">
      <alignment horizontal="right" vertical="center"/>
    </xf>
    <xf numFmtId="0" fontId="25" fillId="4" borderId="20" xfId="7" applyFont="1" applyFill="1" applyBorder="1" applyAlignment="1">
      <alignment horizontal="right" vertical="center"/>
    </xf>
    <xf numFmtId="17" fontId="25" fillId="4" borderId="21" xfId="7" applyNumberFormat="1" applyFont="1" applyFill="1" applyBorder="1" applyAlignment="1">
      <alignment horizontal="right" vertical="center"/>
    </xf>
    <xf numFmtId="0" fontId="25" fillId="4" borderId="22" xfId="7" applyFont="1" applyFill="1" applyBorder="1" applyAlignment="1">
      <alignment horizontal="right" vertical="center"/>
    </xf>
    <xf numFmtId="0" fontId="25" fillId="4" borderId="23" xfId="7" applyFont="1" applyFill="1" applyBorder="1" applyAlignment="1">
      <alignment horizontal="right" vertical="center"/>
    </xf>
    <xf numFmtId="0" fontId="22" fillId="4" borderId="19" xfId="7" applyFont="1" applyFill="1" applyBorder="1" applyAlignment="1">
      <alignment horizontal="center"/>
    </xf>
    <xf numFmtId="0" fontId="22" fillId="4" borderId="0" xfId="7" applyFont="1" applyFill="1" applyAlignment="1">
      <alignment horizontal="center"/>
    </xf>
    <xf numFmtId="0" fontId="22" fillId="4" borderId="20" xfId="7" applyFont="1" applyFill="1" applyBorder="1" applyAlignment="1">
      <alignment horizontal="center"/>
    </xf>
    <xf numFmtId="0" fontId="17" fillId="4" borderId="16" xfId="7" applyFont="1" applyFill="1" applyBorder="1" applyAlignment="1" applyProtection="1">
      <alignment horizontal="center" wrapText="1"/>
      <protection locked="0"/>
    </xf>
    <xf numFmtId="0" fontId="17" fillId="4" borderId="17" xfId="7" applyFont="1" applyFill="1" applyBorder="1" applyAlignment="1" applyProtection="1">
      <alignment horizontal="center" wrapText="1"/>
      <protection locked="0"/>
    </xf>
    <xf numFmtId="0" fontId="17" fillId="4" borderId="18" xfId="7" applyFont="1" applyFill="1" applyBorder="1" applyAlignment="1" applyProtection="1">
      <alignment horizontal="center" wrapText="1"/>
      <protection locked="0"/>
    </xf>
    <xf numFmtId="0" fontId="17" fillId="4" borderId="19" xfId="7" applyFont="1" applyFill="1" applyBorder="1" applyAlignment="1" applyProtection="1">
      <alignment horizontal="center" wrapText="1"/>
      <protection locked="0"/>
    </xf>
    <xf numFmtId="0" fontId="17" fillId="4" borderId="0" xfId="7" applyFont="1" applyFill="1" applyAlignment="1" applyProtection="1">
      <alignment horizontal="center" wrapText="1"/>
      <protection locked="0"/>
    </xf>
    <xf numFmtId="0" fontId="17" fillId="4" borderId="20" xfId="7" applyFont="1" applyFill="1" applyBorder="1" applyAlignment="1" applyProtection="1">
      <alignment horizontal="center" wrapText="1"/>
      <protection locked="0"/>
    </xf>
    <xf numFmtId="0" fontId="19" fillId="4" borderId="19" xfId="7" applyFont="1" applyFill="1" applyBorder="1" applyAlignment="1">
      <alignment horizontal="left"/>
    </xf>
    <xf numFmtId="0" fontId="19" fillId="4" borderId="0" xfId="7" applyFont="1" applyFill="1" applyAlignment="1">
      <alignment horizontal="left"/>
    </xf>
    <xf numFmtId="0" fontId="19" fillId="4" borderId="20" xfId="7" applyFont="1" applyFill="1" applyBorder="1" applyAlignment="1">
      <alignment horizontal="left"/>
    </xf>
    <xf numFmtId="0" fontId="22" fillId="4" borderId="19" xfId="7" applyFont="1" applyFill="1" applyBorder="1" applyAlignment="1">
      <alignment horizontal="center" vertical="center" wrapText="1"/>
    </xf>
    <xf numFmtId="0" fontId="22" fillId="4" borderId="0" xfId="7" applyFont="1" applyFill="1" applyAlignment="1">
      <alignment horizontal="center" vertical="center" wrapText="1"/>
    </xf>
    <xf numFmtId="0" fontId="22" fillId="4" borderId="20" xfId="7" applyFont="1" applyFill="1" applyBorder="1" applyAlignment="1">
      <alignment horizontal="center" vertical="center" wrapText="1"/>
    </xf>
    <xf numFmtId="0" fontId="9" fillId="0" borderId="10" xfId="8" applyFont="1" applyBorder="1"/>
    <xf numFmtId="0" fontId="8" fillId="0" borderId="0" xfId="8" applyFont="1" applyAlignment="1">
      <alignment horizontal="center"/>
    </xf>
    <xf numFmtId="0" fontId="9" fillId="0" borderId="0" xfId="8" applyFont="1"/>
    <xf numFmtId="0" fontId="10" fillId="0" borderId="8" xfId="8" applyFont="1" applyBorder="1" applyAlignment="1">
      <alignment horizontal="center"/>
    </xf>
    <xf numFmtId="0" fontId="10" fillId="0" borderId="24" xfId="8" applyFont="1" applyBorder="1" applyAlignment="1">
      <alignment horizontal="center"/>
    </xf>
    <xf numFmtId="0" fontId="10" fillId="0" borderId="25" xfId="8" applyFont="1" applyBorder="1" applyAlignment="1">
      <alignment horizontal="center"/>
    </xf>
    <xf numFmtId="164" fontId="12" fillId="0" borderId="4" xfId="1" applyFont="1" applyBorder="1" applyAlignment="1">
      <alignment horizontal="center"/>
    </xf>
  </cellXfs>
  <cellStyles count="63">
    <cellStyle name="Comma" xfId="1" builtinId="3"/>
    <cellStyle name="Comma 10" xfId="10"/>
    <cellStyle name="Comma 11 2" xfId="55"/>
    <cellStyle name="Comma 12" xfId="11"/>
    <cellStyle name="Comma 18" xfId="57"/>
    <cellStyle name="Comma 2" xfId="12"/>
    <cellStyle name="Comma 2 10" xfId="13"/>
    <cellStyle name="Comma 2 11" xfId="14"/>
    <cellStyle name="Comma 2 12" xfId="53"/>
    <cellStyle name="Comma 2 2" xfId="15"/>
    <cellStyle name="Comma 2 2 2" xfId="61"/>
    <cellStyle name="Comma 2 3" xfId="16"/>
    <cellStyle name="Comma 2 4" xfId="17"/>
    <cellStyle name="Comma 2 5" xfId="18"/>
    <cellStyle name="Comma 2 6" xfId="19"/>
    <cellStyle name="Comma 2 7" xfId="20"/>
    <cellStyle name="Comma 2 8" xfId="21"/>
    <cellStyle name="Comma 2 9" xfId="22"/>
    <cellStyle name="Comma 20" xfId="56"/>
    <cellStyle name="Comma 24" xfId="58"/>
    <cellStyle name="Comma 25" xfId="59"/>
    <cellStyle name="Comma 3" xfId="2"/>
    <cellStyle name="Comma 3 2" xfId="23"/>
    <cellStyle name="Comma 4" xfId="24"/>
    <cellStyle name="Comma 4 2" xfId="25"/>
    <cellStyle name="Comma 5" xfId="26"/>
    <cellStyle name="Comma 6" xfId="27"/>
    <cellStyle name="Normal" xfId="0" builtinId="0"/>
    <cellStyle name="Normal 10" xfId="8"/>
    <cellStyle name="Normal 11" xfId="28"/>
    <cellStyle name="Normal 12" xfId="29"/>
    <cellStyle name="Normal 13" xfId="54"/>
    <cellStyle name="Normal 2" xfId="3"/>
    <cellStyle name="Normal 2 10" xfId="30"/>
    <cellStyle name="Normal 2 10 2" xfId="31"/>
    <cellStyle name="Normal 2 11" xfId="32"/>
    <cellStyle name="Normal 2 12" xfId="51"/>
    <cellStyle name="Normal 2 13" xfId="60"/>
    <cellStyle name="Normal 2 14" xfId="62"/>
    <cellStyle name="Normal 2 2" xfId="33"/>
    <cellStyle name="Normal 2 2 2 2 2" xfId="4"/>
    <cellStyle name="Normal 2 2 2 3" xfId="34"/>
    <cellStyle name="Normal 2 2 3 2" xfId="50"/>
    <cellStyle name="Normal 2 3" xfId="35"/>
    <cellStyle name="Normal 2 3 2" xfId="36"/>
    <cellStyle name="Normal 2 4" xfId="37"/>
    <cellStyle name="Normal 2 4 2" xfId="6"/>
    <cellStyle name="Normal 2 5" xfId="38"/>
    <cellStyle name="Normal 2 6" xfId="39"/>
    <cellStyle name="Normal 2 7" xfId="40"/>
    <cellStyle name="Normal 2 8" xfId="41"/>
    <cellStyle name="Normal 2 9" xfId="42"/>
    <cellStyle name="Normal 3" xfId="7"/>
    <cellStyle name="Normal 3 2" xfId="43"/>
    <cellStyle name="Normal 4" xfId="44"/>
    <cellStyle name="Normal 4 2" xfId="9"/>
    <cellStyle name="Normal 5" xfId="45"/>
    <cellStyle name="Normal 6" xfId="46"/>
    <cellStyle name="Normal 6 2" xfId="52"/>
    <cellStyle name="Normal 7" xfId="47"/>
    <cellStyle name="Normal 8" xfId="48"/>
    <cellStyle name="Normal 9" xfId="49"/>
    <cellStyle name="Normal_SUMMARY FOR PART1-3" xfId="5"/>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 val="Pay-Certeficate (2)"/>
      <sheetName val="Pay-Certeficate"/>
      <sheetName val="Total Block summary "/>
      <sheetName val="Block Summary"/>
      <sheetName val="Summary"/>
      <sheetName val="Ar &amp; St"/>
      <sheetName val="RB E-1 300kp Res. Super St."/>
      <sheetName val="E-1 Plate Qty"/>
      <sheetName val="Plastering for Res."/>
      <sheetName val="Truss"/>
      <sheetName val="Latice Purlin "/>
    </sheetNames>
    <sheetDataSet>
      <sheetData sheetId="0" refreshError="1">
        <row r="7">
          <cell r="H7" t="str">
            <v>Previous Qty</v>
          </cell>
          <cell r="I7" t="str">
            <v xml:space="preserve">Current Qty </v>
          </cell>
        </row>
        <row r="10">
          <cell r="H10">
            <v>440.45</v>
          </cell>
        </row>
        <row r="11">
          <cell r="H11">
            <v>176.18</v>
          </cell>
        </row>
        <row r="12">
          <cell r="H12">
            <v>39.78</v>
          </cell>
        </row>
        <row r="13">
          <cell r="H13">
            <v>227.28</v>
          </cell>
        </row>
        <row r="14">
          <cell r="H14">
            <v>136.67999999999998</v>
          </cell>
        </row>
        <row r="15">
          <cell r="H15">
            <v>289.39999999999992</v>
          </cell>
        </row>
        <row r="16">
          <cell r="H16">
            <v>30.839999999999996</v>
          </cell>
        </row>
        <row r="17">
          <cell r="H17">
            <v>196.02</v>
          </cell>
        </row>
        <row r="18">
          <cell r="H18">
            <v>0</v>
          </cell>
        </row>
        <row r="19">
          <cell r="H19">
            <v>668.00999999999988</v>
          </cell>
        </row>
        <row r="20">
          <cell r="H20">
            <v>280.75</v>
          </cell>
        </row>
        <row r="21">
          <cell r="H21">
            <v>2485.3899999999994</v>
          </cell>
        </row>
        <row r="31">
          <cell r="H31">
            <v>94.8</v>
          </cell>
        </row>
        <row r="32">
          <cell r="H32">
            <v>41.78</v>
          </cell>
        </row>
        <row r="33">
          <cell r="H33">
            <v>19.799999999999997</v>
          </cell>
        </row>
        <row r="34">
          <cell r="H34">
            <v>280.75</v>
          </cell>
        </row>
        <row r="36">
          <cell r="H36">
            <v>61.279999999999994</v>
          </cell>
        </row>
        <row r="37">
          <cell r="H37">
            <v>6.16</v>
          </cell>
        </row>
        <row r="38">
          <cell r="H38">
            <v>15.699999999999998</v>
          </cell>
        </row>
        <row r="39">
          <cell r="H39">
            <v>280.75</v>
          </cell>
        </row>
        <row r="40">
          <cell r="H40">
            <v>292.64</v>
          </cell>
        </row>
        <row r="42">
          <cell r="H42">
            <v>119.36</v>
          </cell>
        </row>
        <row r="43">
          <cell r="H43">
            <v>77.449999999999989</v>
          </cell>
        </row>
        <row r="44">
          <cell r="H44">
            <v>152.73999999999998</v>
          </cell>
        </row>
        <row r="46">
          <cell r="H46">
            <v>639.67999999999995</v>
          </cell>
        </row>
        <row r="47">
          <cell r="H47">
            <v>735.97</v>
          </cell>
        </row>
        <row r="48">
          <cell r="H48">
            <v>0</v>
          </cell>
        </row>
        <row r="49">
          <cell r="H49">
            <v>1058.6300000000001</v>
          </cell>
        </row>
        <row r="50">
          <cell r="H50">
            <v>2131.21</v>
          </cell>
        </row>
        <row r="51">
          <cell r="H51">
            <v>546.13</v>
          </cell>
        </row>
        <row r="52">
          <cell r="H52">
            <v>1502.65</v>
          </cell>
        </row>
        <row r="53">
          <cell r="H53">
            <v>8057.48</v>
          </cell>
        </row>
        <row r="55">
          <cell r="H55">
            <v>39.879999999999995</v>
          </cell>
        </row>
        <row r="56">
          <cell r="H56">
            <v>7.21</v>
          </cell>
        </row>
        <row r="57">
          <cell r="H57">
            <v>47.089999999999996</v>
          </cell>
        </row>
      </sheetData>
      <sheetData sheetId="1"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9">
          <cell r="B9">
            <v>1</v>
          </cell>
          <cell r="C9">
            <v>1</v>
          </cell>
          <cell r="D9">
            <v>1</v>
          </cell>
          <cell r="E9">
            <v>33.72</v>
          </cell>
        </row>
        <row r="10">
          <cell r="E10">
            <v>10.6</v>
          </cell>
        </row>
        <row r="11">
          <cell r="F11">
            <v>357.43</v>
          </cell>
        </row>
        <row r="12">
          <cell r="B12">
            <v>1</v>
          </cell>
          <cell r="C12">
            <v>1</v>
          </cell>
          <cell r="D12">
            <v>2</v>
          </cell>
          <cell r="E12">
            <v>6.45</v>
          </cell>
        </row>
        <row r="13">
          <cell r="E13">
            <v>1.33</v>
          </cell>
        </row>
        <row r="14">
          <cell r="F14">
            <v>17.16</v>
          </cell>
        </row>
        <row r="15">
          <cell r="A15" t="str">
            <v>C3.1</v>
          </cell>
          <cell r="F15">
            <v>374.59000000000003</v>
          </cell>
        </row>
        <row r="18">
          <cell r="B18">
            <v>1</v>
          </cell>
          <cell r="C18">
            <v>1</v>
          </cell>
          <cell r="D18">
            <v>2</v>
          </cell>
          <cell r="E18">
            <v>33.72</v>
          </cell>
        </row>
        <row r="19">
          <cell r="F19">
            <v>67.44</v>
          </cell>
        </row>
        <row r="20">
          <cell r="B20">
            <v>1</v>
          </cell>
          <cell r="C20">
            <v>1</v>
          </cell>
          <cell r="D20">
            <v>2</v>
          </cell>
          <cell r="E20">
            <v>10.61</v>
          </cell>
        </row>
        <row r="21">
          <cell r="F21">
            <v>21.22</v>
          </cell>
        </row>
        <row r="22">
          <cell r="B22">
            <v>1</v>
          </cell>
          <cell r="C22">
            <v>1</v>
          </cell>
          <cell r="D22">
            <v>4</v>
          </cell>
          <cell r="E22">
            <v>1.33</v>
          </cell>
        </row>
        <row r="23">
          <cell r="F23">
            <v>5.32</v>
          </cell>
        </row>
        <row r="24">
          <cell r="A24" t="str">
            <v>C3.2</v>
          </cell>
          <cell r="F24">
            <v>93.97999999999999</v>
          </cell>
        </row>
        <row r="31">
          <cell r="A31" t="str">
            <v>C3.3</v>
          </cell>
        </row>
        <row r="34">
          <cell r="B34">
            <v>1</v>
          </cell>
          <cell r="C34">
            <v>1</v>
          </cell>
          <cell r="D34">
            <v>1</v>
          </cell>
          <cell r="E34">
            <v>22.22</v>
          </cell>
        </row>
        <row r="35">
          <cell r="F35">
            <v>22.22</v>
          </cell>
        </row>
        <row r="36">
          <cell r="B36">
            <v>1</v>
          </cell>
          <cell r="C36">
            <v>1</v>
          </cell>
          <cell r="D36">
            <v>2</v>
          </cell>
          <cell r="E36">
            <v>8.458503677008256</v>
          </cell>
        </row>
        <row r="37">
          <cell r="F37">
            <v>16.920000000000002</v>
          </cell>
        </row>
        <row r="38">
          <cell r="B38">
            <v>1</v>
          </cell>
          <cell r="C38">
            <v>1</v>
          </cell>
          <cell r="D38">
            <v>2</v>
          </cell>
          <cell r="E38">
            <v>7.5142033722579642</v>
          </cell>
        </row>
        <row r="39">
          <cell r="F39">
            <v>15.03</v>
          </cell>
        </row>
        <row r="40">
          <cell r="B40">
            <v>1</v>
          </cell>
          <cell r="C40">
            <v>1</v>
          </cell>
          <cell r="D40">
            <v>4</v>
          </cell>
          <cell r="E40">
            <v>5.7871938484923637</v>
          </cell>
        </row>
        <row r="41">
          <cell r="F41">
            <v>23.15</v>
          </cell>
        </row>
        <row r="42">
          <cell r="B42">
            <v>1</v>
          </cell>
          <cell r="C42">
            <v>1</v>
          </cell>
          <cell r="D42">
            <v>4</v>
          </cell>
          <cell r="E42">
            <v>4.6852596176569508</v>
          </cell>
        </row>
        <row r="43">
          <cell r="F43">
            <v>18.739999999999998</v>
          </cell>
        </row>
        <row r="44">
          <cell r="A44" t="str">
            <v>C3.4</v>
          </cell>
          <cell r="F44">
            <v>96.059999999999988</v>
          </cell>
        </row>
      </sheetData>
      <sheetData sheetId="2"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12">
          <cell r="B12">
            <v>1</v>
          </cell>
          <cell r="C12">
            <v>1</v>
          </cell>
          <cell r="D12">
            <v>24</v>
          </cell>
          <cell r="E12">
            <v>0.25</v>
          </cell>
        </row>
        <row r="13">
          <cell r="E13">
            <v>0.4</v>
          </cell>
        </row>
        <row r="14">
          <cell r="E14">
            <v>2.58</v>
          </cell>
        </row>
        <row r="15">
          <cell r="F15">
            <v>6.19</v>
          </cell>
        </row>
        <row r="16">
          <cell r="A16" t="str">
            <v>C1.1a</v>
          </cell>
          <cell r="F16">
            <v>6.19</v>
          </cell>
        </row>
        <row r="19">
          <cell r="B19">
            <v>1</v>
          </cell>
          <cell r="C19">
            <v>1</v>
          </cell>
          <cell r="D19">
            <v>4</v>
          </cell>
          <cell r="E19">
            <v>8.1999999999999993</v>
          </cell>
        </row>
        <row r="20">
          <cell r="E20">
            <v>0.2</v>
          </cell>
        </row>
        <row r="21">
          <cell r="E21">
            <v>0.3</v>
          </cell>
        </row>
        <row r="22">
          <cell r="F22">
            <v>1.97</v>
          </cell>
        </row>
        <row r="23">
          <cell r="B23">
            <v>1</v>
          </cell>
          <cell r="C23">
            <v>1</v>
          </cell>
          <cell r="D23">
            <v>4</v>
          </cell>
          <cell r="E23">
            <v>9.5300000000000011</v>
          </cell>
        </row>
        <row r="24">
          <cell r="E24">
            <v>0.2</v>
          </cell>
        </row>
        <row r="25">
          <cell r="E25">
            <v>0.3</v>
          </cell>
        </row>
        <row r="26">
          <cell r="F26">
            <v>2.29</v>
          </cell>
        </row>
        <row r="27">
          <cell r="B27">
            <v>1</v>
          </cell>
          <cell r="C27">
            <v>1</v>
          </cell>
          <cell r="D27">
            <v>1</v>
          </cell>
          <cell r="E27">
            <v>30.520000000000003</v>
          </cell>
        </row>
        <row r="28">
          <cell r="E28">
            <v>0.2</v>
          </cell>
        </row>
        <row r="29">
          <cell r="E29">
            <v>0.3</v>
          </cell>
        </row>
        <row r="30">
          <cell r="F30">
            <v>1.83</v>
          </cell>
        </row>
        <row r="31">
          <cell r="B31">
            <v>1</v>
          </cell>
          <cell r="C31">
            <v>1</v>
          </cell>
          <cell r="D31">
            <v>2</v>
          </cell>
          <cell r="E31">
            <v>4.8</v>
          </cell>
        </row>
        <row r="32">
          <cell r="E32">
            <v>0.2</v>
          </cell>
        </row>
        <row r="33">
          <cell r="E33">
            <v>0.3</v>
          </cell>
        </row>
        <row r="34">
          <cell r="F34">
            <v>0.57999999999999996</v>
          </cell>
        </row>
        <row r="35">
          <cell r="B35">
            <v>1</v>
          </cell>
          <cell r="C35">
            <v>1</v>
          </cell>
          <cell r="D35">
            <v>2</v>
          </cell>
          <cell r="E35">
            <v>8.6900000000000013</v>
          </cell>
        </row>
        <row r="36">
          <cell r="E36">
            <v>0.2</v>
          </cell>
        </row>
        <row r="37">
          <cell r="E37">
            <v>0.3</v>
          </cell>
        </row>
        <row r="38">
          <cell r="F38">
            <v>1.04</v>
          </cell>
        </row>
        <row r="39">
          <cell r="B39">
            <v>1</v>
          </cell>
          <cell r="C39">
            <v>1</v>
          </cell>
          <cell r="D39">
            <v>1</v>
          </cell>
          <cell r="E39">
            <v>20.93</v>
          </cell>
        </row>
        <row r="40">
          <cell r="E40">
            <v>0.2</v>
          </cell>
        </row>
        <row r="41">
          <cell r="E41">
            <v>0.3</v>
          </cell>
        </row>
        <row r="42">
          <cell r="F42">
            <v>1.26</v>
          </cell>
        </row>
        <row r="43">
          <cell r="B43">
            <v>1</v>
          </cell>
          <cell r="C43">
            <v>1</v>
          </cell>
          <cell r="D43">
            <v>2</v>
          </cell>
          <cell r="E43">
            <v>5</v>
          </cell>
        </row>
        <row r="44">
          <cell r="E44">
            <v>0.2</v>
          </cell>
        </row>
        <row r="45">
          <cell r="E45">
            <v>0.3</v>
          </cell>
        </row>
        <row r="46">
          <cell r="F46">
            <v>0.6</v>
          </cell>
        </row>
        <row r="47">
          <cell r="B47">
            <v>1</v>
          </cell>
          <cell r="C47">
            <v>1</v>
          </cell>
          <cell r="D47">
            <v>2</v>
          </cell>
          <cell r="E47">
            <v>4.8499999999999996</v>
          </cell>
        </row>
        <row r="48">
          <cell r="E48">
            <v>0.2</v>
          </cell>
        </row>
        <row r="49">
          <cell r="E49">
            <v>0.3</v>
          </cell>
        </row>
        <row r="50">
          <cell r="F50">
            <v>0.57999999999999996</v>
          </cell>
        </row>
        <row r="52">
          <cell r="B52">
            <v>1</v>
          </cell>
          <cell r="C52">
            <v>1</v>
          </cell>
          <cell r="D52">
            <v>24</v>
          </cell>
          <cell r="E52">
            <v>0.25</v>
          </cell>
        </row>
        <row r="53">
          <cell r="E53">
            <v>0.4</v>
          </cell>
        </row>
        <row r="54">
          <cell r="E54">
            <v>0.3</v>
          </cell>
        </row>
        <row r="55">
          <cell r="F55">
            <v>0.72</v>
          </cell>
        </row>
        <row r="56">
          <cell r="A56" t="str">
            <v>C1.1b</v>
          </cell>
          <cell r="F56">
            <v>10.870000000000001</v>
          </cell>
        </row>
        <row r="60">
          <cell r="B60">
            <v>1</v>
          </cell>
          <cell r="C60">
            <v>1</v>
          </cell>
          <cell r="D60">
            <v>24</v>
          </cell>
          <cell r="E60">
            <v>1.3</v>
          </cell>
        </row>
        <row r="61">
          <cell r="E61">
            <v>2.58</v>
          </cell>
        </row>
        <row r="62">
          <cell r="F62">
            <v>80.5</v>
          </cell>
        </row>
        <row r="63">
          <cell r="A63" t="str">
            <v>C1.3a</v>
          </cell>
          <cell r="F63">
            <v>80.5</v>
          </cell>
        </row>
        <row r="67">
          <cell r="B67">
            <v>1</v>
          </cell>
          <cell r="C67">
            <v>1</v>
          </cell>
          <cell r="D67">
            <v>1</v>
          </cell>
          <cell r="E67">
            <v>89.16</v>
          </cell>
        </row>
        <row r="68">
          <cell r="E68">
            <v>0.3</v>
          </cell>
        </row>
        <row r="69">
          <cell r="F69">
            <v>26.75</v>
          </cell>
        </row>
        <row r="71">
          <cell r="B71">
            <v>1</v>
          </cell>
          <cell r="C71">
            <v>1</v>
          </cell>
          <cell r="D71">
            <v>2</v>
          </cell>
          <cell r="E71">
            <v>27.3</v>
          </cell>
        </row>
        <row r="72">
          <cell r="E72">
            <v>0.3</v>
          </cell>
        </row>
        <row r="73">
          <cell r="F73">
            <v>16.38</v>
          </cell>
        </row>
        <row r="74">
          <cell r="B74">
            <v>1</v>
          </cell>
          <cell r="C74">
            <v>1</v>
          </cell>
          <cell r="D74">
            <v>2</v>
          </cell>
          <cell r="E74">
            <v>58.559999999999995</v>
          </cell>
        </row>
        <row r="75">
          <cell r="E75">
            <v>0.3</v>
          </cell>
        </row>
        <row r="76">
          <cell r="F76">
            <v>35.14</v>
          </cell>
        </row>
        <row r="77">
          <cell r="B77">
            <v>1</v>
          </cell>
          <cell r="C77">
            <v>1</v>
          </cell>
          <cell r="D77">
            <v>2</v>
          </cell>
          <cell r="E77">
            <v>32.96</v>
          </cell>
        </row>
        <row r="78">
          <cell r="E78">
            <v>0.3</v>
          </cell>
        </row>
        <row r="79">
          <cell r="F79">
            <v>19.78</v>
          </cell>
        </row>
        <row r="80">
          <cell r="B80">
            <v>1</v>
          </cell>
          <cell r="C80">
            <v>1</v>
          </cell>
          <cell r="D80">
            <v>1</v>
          </cell>
          <cell r="E80">
            <v>25.28</v>
          </cell>
        </row>
        <row r="81">
          <cell r="E81">
            <v>0.3</v>
          </cell>
        </row>
        <row r="82">
          <cell r="F82">
            <v>7.58</v>
          </cell>
        </row>
        <row r="84">
          <cell r="B84">
            <v>1</v>
          </cell>
          <cell r="C84">
            <v>1</v>
          </cell>
          <cell r="D84">
            <v>4</v>
          </cell>
          <cell r="E84">
            <v>8.1999999999999993</v>
          </cell>
        </row>
        <row r="85">
          <cell r="E85">
            <v>0.2</v>
          </cell>
        </row>
        <row r="86">
          <cell r="F86">
            <v>6.56</v>
          </cell>
        </row>
        <row r="87">
          <cell r="B87">
            <v>1</v>
          </cell>
          <cell r="C87">
            <v>1</v>
          </cell>
          <cell r="D87">
            <v>4</v>
          </cell>
          <cell r="E87">
            <v>9.5300000000000011</v>
          </cell>
        </row>
        <row r="88">
          <cell r="E88">
            <v>0.2</v>
          </cell>
        </row>
        <row r="89">
          <cell r="F89">
            <v>7.62</v>
          </cell>
        </row>
        <row r="90">
          <cell r="B90">
            <v>1</v>
          </cell>
          <cell r="C90">
            <v>1</v>
          </cell>
          <cell r="D90">
            <v>2</v>
          </cell>
          <cell r="E90">
            <v>5</v>
          </cell>
        </row>
        <row r="91">
          <cell r="E91">
            <v>0.2</v>
          </cell>
        </row>
        <row r="92">
          <cell r="F92">
            <v>2</v>
          </cell>
        </row>
        <row r="93">
          <cell r="B93">
            <v>1</v>
          </cell>
          <cell r="C93">
            <v>1</v>
          </cell>
          <cell r="D93">
            <v>1</v>
          </cell>
          <cell r="E93">
            <v>9.6999999999999993</v>
          </cell>
        </row>
        <row r="94">
          <cell r="E94">
            <v>0.2</v>
          </cell>
        </row>
        <row r="95">
          <cell r="F95">
            <v>1.94</v>
          </cell>
        </row>
        <row r="96">
          <cell r="B96">
            <v>1</v>
          </cell>
          <cell r="C96">
            <v>1</v>
          </cell>
          <cell r="D96">
            <v>1</v>
          </cell>
          <cell r="E96">
            <v>20.92</v>
          </cell>
        </row>
        <row r="97">
          <cell r="E97">
            <v>0.2</v>
          </cell>
        </row>
        <row r="98">
          <cell r="F98">
            <v>4.18</v>
          </cell>
        </row>
        <row r="99">
          <cell r="B99">
            <v>1</v>
          </cell>
          <cell r="C99">
            <v>1</v>
          </cell>
          <cell r="D99">
            <v>1</v>
          </cell>
          <cell r="E99">
            <v>9.6</v>
          </cell>
        </row>
        <row r="100">
          <cell r="E100">
            <v>0.2</v>
          </cell>
        </row>
        <row r="101">
          <cell r="F101">
            <v>1.92</v>
          </cell>
        </row>
        <row r="102">
          <cell r="B102">
            <v>1</v>
          </cell>
          <cell r="C102">
            <v>1</v>
          </cell>
          <cell r="D102">
            <v>1</v>
          </cell>
          <cell r="E102">
            <v>17.38</v>
          </cell>
        </row>
        <row r="103">
          <cell r="E103">
            <v>0.2</v>
          </cell>
        </row>
        <row r="104">
          <cell r="F104">
            <v>3.48</v>
          </cell>
        </row>
        <row r="105">
          <cell r="B105">
            <v>1</v>
          </cell>
          <cell r="C105">
            <v>1</v>
          </cell>
          <cell r="D105">
            <v>1</v>
          </cell>
          <cell r="E105">
            <v>30.520000000000003</v>
          </cell>
        </row>
        <row r="106">
          <cell r="E106">
            <v>0.2</v>
          </cell>
        </row>
        <row r="107">
          <cell r="F107">
            <v>0</v>
          </cell>
        </row>
        <row r="108">
          <cell r="A108" t="str">
            <v>C1.3b</v>
          </cell>
          <cell r="F108">
            <v>133.32999999999998</v>
          </cell>
        </row>
        <row r="111">
          <cell r="A111" t="str">
            <v>C1.4a</v>
          </cell>
          <cell r="F111">
            <v>0</v>
          </cell>
        </row>
        <row r="113">
          <cell r="A113" t="str">
            <v>C1.4b</v>
          </cell>
          <cell r="F113">
            <v>557.34</v>
          </cell>
        </row>
        <row r="115">
          <cell r="A115" t="str">
            <v>C1.4c</v>
          </cell>
          <cell r="F115">
            <v>0</v>
          </cell>
        </row>
        <row r="117">
          <cell r="A117" t="str">
            <v>C1.4d</v>
          </cell>
          <cell r="F117">
            <v>323.68</v>
          </cell>
        </row>
        <row r="119">
          <cell r="A119" t="str">
            <v>C1.4e</v>
          </cell>
          <cell r="F119">
            <v>958.39</v>
          </cell>
        </row>
        <row r="121">
          <cell r="A121" t="str">
            <v>C1.4f</v>
          </cell>
          <cell r="F121">
            <v>453.24</v>
          </cell>
        </row>
        <row r="123">
          <cell r="A123" t="str">
            <v>C1.4g</v>
          </cell>
          <cell r="F123">
            <v>0</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ow r="1">
          <cell r="B1" t="str">
            <v>Project: Low Cost Housing Development Project</v>
          </cell>
        </row>
      </sheetData>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Tesfu Beyen- A2,E1-hENOKX"/>
      <sheetName val="Wendwessen- A2,A1-fevenV "/>
      <sheetName val="Sisay Tedla b.c.- A2,E1-FevX "/>
      <sheetName val="YOKA CONS. A2,E1-YESHITILAX"/>
      <sheetName val="Teshale Asrat- E2,E1-Yesh"/>
      <sheetName val="Adot con.- A2,E1-Yeshitila"/>
      <sheetName val="Eshetu Yirdaw bc.-A2,E1-TsedeyV"/>
      <sheetName val="Sara B.c.- A2,E1-TsedeyV"/>
      <sheetName val="Seid Abdela-A2,E1-TsedeyV"/>
      <sheetName val="kinfe hailu,e1,a2(dagne)X"/>
      <sheetName val="mathios teshome E1,A2 (dagne)X"/>
      <sheetName val="Amha Wegayehu- E2,E1-Tsedey"/>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 val="Block Summary"/>
      <sheetName val="Summary"/>
      <sheetName val=" Sub Structure BC = 200"/>
      <sheetName val=" E2 Res TAKOFF(con sub200kp)"/>
      <sheetName val=" TAKE OFF(form sub 200kp)"/>
      <sheetName val="E2 Res TAKE OFF(ref sub 200 kp)"/>
      <sheetName val=" Ar &amp; St"/>
      <sheetName val=" TAKE OFF(con super 200kp)"/>
      <sheetName val="E2 ResTAKEOFF(refsup bar 200kp)"/>
      <sheetName val=" TAKE OFF(form super 200kp)"/>
      <sheetName val="Sheet1"/>
    </sheetNames>
    <sheetDataSet>
      <sheetData sheetId="0" refreshError="1">
        <row r="1">
          <cell r="B1" t="str">
            <v>Final Residence</v>
          </cell>
        </row>
        <row r="2">
          <cell r="B2" t="str">
            <v>TAKEOFF SHEET FOR</v>
          </cell>
        </row>
        <row r="3">
          <cell r="B3" t="str">
            <v xml:space="preserve"> CLIENT: AAHDPO</v>
          </cell>
        </row>
        <row r="4">
          <cell r="B4" t="str">
            <v>Type E-2 (G+4)</v>
          </cell>
        </row>
        <row r="5">
          <cell r="B5" t="str">
            <v>LOCATION :- ADDIS ABABA,BC=200</v>
          </cell>
        </row>
        <row r="6">
          <cell r="B6" t="str">
            <v>SUB STRUCTURE</v>
          </cell>
        </row>
        <row r="8">
          <cell r="B8" t="str">
            <v>1) EXCAVATION &amp; EARTH WORKS</v>
          </cell>
        </row>
        <row r="9">
          <cell r="B9" t="str">
            <v>1.1 Site clearing</v>
          </cell>
          <cell r="C9">
            <v>1</v>
          </cell>
          <cell r="D9">
            <v>25.42</v>
          </cell>
        </row>
        <row r="10">
          <cell r="D10">
            <v>11.153</v>
          </cell>
        </row>
        <row r="11">
          <cell r="A11" t="str">
            <v>B1.1</v>
          </cell>
          <cell r="E11">
            <v>283.51</v>
          </cell>
        </row>
        <row r="13">
          <cell r="B13" t="str">
            <v>1.2 Bulk Excavation</v>
          </cell>
          <cell r="C13">
            <v>1</v>
          </cell>
          <cell r="D13">
            <v>25.42</v>
          </cell>
        </row>
        <row r="14">
          <cell r="D14">
            <v>11.153</v>
          </cell>
        </row>
        <row r="15">
          <cell r="D15">
            <v>0.4</v>
          </cell>
        </row>
        <row r="16">
          <cell r="A16" t="str">
            <v>B1.2</v>
          </cell>
          <cell r="E16">
            <v>113.4</v>
          </cell>
        </row>
        <row r="18">
          <cell r="B18" t="str">
            <v>1.3 Trench Excavation</v>
          </cell>
          <cell r="C18">
            <v>2</v>
          </cell>
          <cell r="D18">
            <v>3.4060000000000001</v>
          </cell>
        </row>
        <row r="19">
          <cell r="D19">
            <v>1</v>
          </cell>
        </row>
        <row r="20">
          <cell r="D20">
            <v>0.9</v>
          </cell>
        </row>
        <row r="21">
          <cell r="E21">
            <v>6.13</v>
          </cell>
        </row>
        <row r="23">
          <cell r="C23">
            <v>2</v>
          </cell>
          <cell r="D23">
            <v>0.08</v>
          </cell>
        </row>
        <row r="24">
          <cell r="D24">
            <v>1</v>
          </cell>
        </row>
        <row r="25">
          <cell r="D25">
            <v>0.9</v>
          </cell>
        </row>
        <row r="26">
          <cell r="E26">
            <v>0.14000000000000001</v>
          </cell>
        </row>
        <row r="28">
          <cell r="C28">
            <v>1</v>
          </cell>
          <cell r="D28">
            <v>5.04</v>
          </cell>
        </row>
        <row r="29">
          <cell r="D29">
            <v>1</v>
          </cell>
        </row>
        <row r="30">
          <cell r="D30">
            <v>0.9</v>
          </cell>
        </row>
        <row r="31">
          <cell r="E31">
            <v>4.54</v>
          </cell>
        </row>
        <row r="33">
          <cell r="C33">
            <v>2</v>
          </cell>
          <cell r="D33">
            <v>1.05</v>
          </cell>
        </row>
        <row r="34">
          <cell r="D34">
            <v>0.33</v>
          </cell>
        </row>
        <row r="35">
          <cell r="D35">
            <v>0.9</v>
          </cell>
        </row>
        <row r="36">
          <cell r="E36">
            <v>0.62</v>
          </cell>
        </row>
        <row r="38">
          <cell r="C38">
            <v>2</v>
          </cell>
          <cell r="D38">
            <v>1.5149999999999999</v>
          </cell>
        </row>
        <row r="39">
          <cell r="D39">
            <v>1</v>
          </cell>
        </row>
        <row r="40">
          <cell r="D40">
            <v>0.9</v>
          </cell>
        </row>
        <row r="41">
          <cell r="E41">
            <v>2.73</v>
          </cell>
        </row>
        <row r="43">
          <cell r="C43">
            <v>1</v>
          </cell>
          <cell r="D43">
            <v>7.27</v>
          </cell>
        </row>
        <row r="44">
          <cell r="D44">
            <v>1</v>
          </cell>
        </row>
        <row r="45">
          <cell r="D45">
            <v>0.9</v>
          </cell>
        </row>
        <row r="46">
          <cell r="E46">
            <v>6.54</v>
          </cell>
        </row>
        <row r="48">
          <cell r="C48">
            <v>2</v>
          </cell>
          <cell r="D48">
            <v>0.625</v>
          </cell>
        </row>
        <row r="49">
          <cell r="D49">
            <v>0.70300000000000007</v>
          </cell>
        </row>
        <row r="50">
          <cell r="D50">
            <v>0.9</v>
          </cell>
        </row>
        <row r="51">
          <cell r="E51">
            <v>0.79</v>
          </cell>
        </row>
        <row r="53">
          <cell r="C53">
            <v>4</v>
          </cell>
          <cell r="D53">
            <v>3.1</v>
          </cell>
        </row>
        <row r="54">
          <cell r="D54">
            <v>0.40300000000000002</v>
          </cell>
        </row>
        <row r="55">
          <cell r="D55">
            <v>0.9</v>
          </cell>
        </row>
        <row r="56">
          <cell r="E56">
            <v>4.5</v>
          </cell>
        </row>
        <row r="57">
          <cell r="A57" t="str">
            <v>B1.3</v>
          </cell>
          <cell r="E57">
            <v>25.99</v>
          </cell>
        </row>
        <row r="58">
          <cell r="B58" t="str">
            <v>1.4 Excavate in ordinary soil for isolated footing to a depth not exceeding 1500mm from stripped level.</v>
          </cell>
        </row>
        <row r="59">
          <cell r="C59">
            <v>10</v>
          </cell>
          <cell r="D59">
            <v>3.1</v>
          </cell>
        </row>
        <row r="60">
          <cell r="D60">
            <v>3.1</v>
          </cell>
        </row>
        <row r="61">
          <cell r="D61">
            <v>1.5</v>
          </cell>
        </row>
        <row r="62">
          <cell r="E62">
            <v>144.15</v>
          </cell>
        </row>
        <row r="64">
          <cell r="C64">
            <v>2</v>
          </cell>
          <cell r="D64">
            <v>2.9</v>
          </cell>
        </row>
        <row r="65">
          <cell r="D65">
            <v>2.9</v>
          </cell>
        </row>
        <row r="66">
          <cell r="D66">
            <v>1.5</v>
          </cell>
        </row>
        <row r="67">
          <cell r="E67">
            <v>25.23</v>
          </cell>
        </row>
        <row r="69">
          <cell r="C69">
            <v>4</v>
          </cell>
          <cell r="D69">
            <v>2.5</v>
          </cell>
        </row>
        <row r="70">
          <cell r="D70">
            <v>2.5</v>
          </cell>
        </row>
        <row r="71">
          <cell r="D71">
            <v>1.5</v>
          </cell>
        </row>
        <row r="72">
          <cell r="E72">
            <v>37.5</v>
          </cell>
        </row>
        <row r="74">
          <cell r="C74">
            <v>2</v>
          </cell>
          <cell r="D74">
            <v>2.1</v>
          </cell>
        </row>
        <row r="75">
          <cell r="D75">
            <v>2.1</v>
          </cell>
        </row>
        <row r="76">
          <cell r="D76">
            <v>1.5</v>
          </cell>
        </row>
        <row r="77">
          <cell r="E77">
            <v>13.23</v>
          </cell>
        </row>
        <row r="79">
          <cell r="A79" t="str">
            <v>B1.4</v>
          </cell>
          <cell r="E79">
            <v>220.11</v>
          </cell>
        </row>
        <row r="80">
          <cell r="B80" t="str">
            <v>1.5 Excavate in ordinary soil for isolated footing to a depth exceeding 1500mm but not exceeding 300mm from stripped level.</v>
          </cell>
        </row>
        <row r="81">
          <cell r="E81" t="str">
            <v>This data is obtained from excavation data attached at the back</v>
          </cell>
        </row>
        <row r="82">
          <cell r="A82" t="str">
            <v>B1.5</v>
          </cell>
          <cell r="E82">
            <v>89.22</v>
          </cell>
        </row>
        <row r="84">
          <cell r="B84" t="str">
            <v>1.6 Fill around footing pad and foundation column</v>
          </cell>
          <cell r="E84">
            <v>220.11</v>
          </cell>
        </row>
        <row r="85">
          <cell r="E85">
            <v>89.22</v>
          </cell>
        </row>
        <row r="87">
          <cell r="E87">
            <v>-5.0119999999999996</v>
          </cell>
        </row>
        <row r="88">
          <cell r="E88">
            <v>-45.618242509277053</v>
          </cell>
        </row>
        <row r="89">
          <cell r="E89">
            <v>-3.3048000000000002</v>
          </cell>
        </row>
        <row r="90">
          <cell r="D90">
            <v>-20.55</v>
          </cell>
        </row>
        <row r="91">
          <cell r="D91">
            <v>0.5</v>
          </cell>
        </row>
        <row r="92">
          <cell r="D92">
            <v>0.4</v>
          </cell>
        </row>
        <row r="93">
          <cell r="E93">
            <v>-4.1100000000000003</v>
          </cell>
        </row>
        <row r="94">
          <cell r="A94" t="str">
            <v>B1.6</v>
          </cell>
          <cell r="E94">
            <v>251.28</v>
          </cell>
        </row>
        <row r="96">
          <cell r="B96" t="str">
            <v>1.7 Fill around stone masonry</v>
          </cell>
        </row>
        <row r="98">
          <cell r="C98">
            <v>2</v>
          </cell>
          <cell r="D98">
            <v>3.4060000000000001</v>
          </cell>
        </row>
        <row r="99">
          <cell r="D99">
            <v>1</v>
          </cell>
        </row>
        <row r="100">
          <cell r="D100">
            <v>0.5</v>
          </cell>
        </row>
        <row r="101">
          <cell r="E101">
            <v>3.41</v>
          </cell>
        </row>
        <row r="103">
          <cell r="C103">
            <v>2</v>
          </cell>
          <cell r="D103">
            <v>0.08</v>
          </cell>
        </row>
        <row r="104">
          <cell r="D104">
            <v>1</v>
          </cell>
        </row>
        <row r="105">
          <cell r="D105">
            <v>0.5</v>
          </cell>
        </row>
        <row r="106">
          <cell r="E106">
            <v>0.08</v>
          </cell>
        </row>
        <row r="108">
          <cell r="C108">
            <v>1</v>
          </cell>
          <cell r="D108">
            <v>5.04</v>
          </cell>
        </row>
        <row r="109">
          <cell r="D109">
            <v>1</v>
          </cell>
        </row>
        <row r="110">
          <cell r="D110">
            <v>0.5</v>
          </cell>
        </row>
        <row r="111">
          <cell r="E111">
            <v>2.52</v>
          </cell>
        </row>
        <row r="113">
          <cell r="C113">
            <v>2</v>
          </cell>
          <cell r="D113">
            <v>1.05</v>
          </cell>
        </row>
        <row r="114">
          <cell r="D114">
            <v>0.33</v>
          </cell>
        </row>
        <row r="115">
          <cell r="D115">
            <v>0.5</v>
          </cell>
        </row>
        <row r="116">
          <cell r="E116">
            <v>0.35</v>
          </cell>
        </row>
        <row r="118">
          <cell r="C118">
            <v>2</v>
          </cell>
          <cell r="D118">
            <v>1.5149999999999999</v>
          </cell>
        </row>
        <row r="119">
          <cell r="D119">
            <v>1</v>
          </cell>
        </row>
        <row r="120">
          <cell r="D120">
            <v>0.5</v>
          </cell>
        </row>
        <row r="121">
          <cell r="E121">
            <v>1.52</v>
          </cell>
        </row>
        <row r="123">
          <cell r="C123">
            <v>1</v>
          </cell>
          <cell r="D123">
            <v>7.27</v>
          </cell>
        </row>
        <row r="124">
          <cell r="D124">
            <v>1</v>
          </cell>
        </row>
        <row r="125">
          <cell r="D125">
            <v>0.5</v>
          </cell>
        </row>
        <row r="126">
          <cell r="E126">
            <v>3.64</v>
          </cell>
        </row>
        <row r="128">
          <cell r="C128">
            <v>2</v>
          </cell>
          <cell r="D128">
            <v>0.625</v>
          </cell>
        </row>
        <row r="129">
          <cell r="D129">
            <v>0.70300000000000007</v>
          </cell>
        </row>
        <row r="130">
          <cell r="D130">
            <v>0.5</v>
          </cell>
        </row>
        <row r="131">
          <cell r="E131">
            <v>0.44</v>
          </cell>
        </row>
        <row r="133">
          <cell r="C133">
            <v>4</v>
          </cell>
          <cell r="D133">
            <v>3.1</v>
          </cell>
        </row>
        <row r="134">
          <cell r="D134">
            <v>0.40300000000000002</v>
          </cell>
        </row>
        <row r="135">
          <cell r="D135">
            <v>0.5</v>
          </cell>
        </row>
        <row r="136">
          <cell r="E136">
            <v>2.5</v>
          </cell>
        </row>
        <row r="139">
          <cell r="C139">
            <v>2</v>
          </cell>
          <cell r="D139">
            <v>3.41</v>
          </cell>
        </row>
        <row r="140">
          <cell r="D140">
            <v>1</v>
          </cell>
        </row>
        <row r="141">
          <cell r="D141">
            <v>0.4</v>
          </cell>
        </row>
        <row r="142">
          <cell r="E142">
            <v>2.73</v>
          </cell>
        </row>
        <row r="144">
          <cell r="C144">
            <v>2</v>
          </cell>
          <cell r="D144">
            <v>0.08</v>
          </cell>
        </row>
        <row r="145">
          <cell r="D145">
            <v>1</v>
          </cell>
        </row>
        <row r="146">
          <cell r="D146">
            <v>0.4</v>
          </cell>
        </row>
        <row r="147">
          <cell r="E147">
            <v>0.06</v>
          </cell>
        </row>
        <row r="149">
          <cell r="C149">
            <v>1</v>
          </cell>
          <cell r="D149">
            <v>5.04</v>
          </cell>
        </row>
        <row r="150">
          <cell r="D150">
            <v>1</v>
          </cell>
        </row>
        <row r="151">
          <cell r="D151">
            <v>0.4</v>
          </cell>
        </row>
        <row r="152">
          <cell r="E152">
            <v>2.02</v>
          </cell>
        </row>
        <row r="154">
          <cell r="C154">
            <v>2</v>
          </cell>
          <cell r="D154">
            <v>1.05</v>
          </cell>
        </row>
        <row r="155">
          <cell r="D155">
            <v>0.33</v>
          </cell>
        </row>
        <row r="156">
          <cell r="D156">
            <v>0.4</v>
          </cell>
        </row>
        <row r="157">
          <cell r="E157">
            <v>0.28000000000000003</v>
          </cell>
        </row>
        <row r="159">
          <cell r="C159">
            <v>2</v>
          </cell>
          <cell r="D159">
            <v>1.5149999999999999</v>
          </cell>
        </row>
        <row r="160">
          <cell r="D160">
            <v>1</v>
          </cell>
        </row>
        <row r="161">
          <cell r="D161">
            <v>0.4</v>
          </cell>
        </row>
        <row r="162">
          <cell r="E162">
            <v>1.21</v>
          </cell>
        </row>
        <row r="164">
          <cell r="C164">
            <v>1</v>
          </cell>
          <cell r="D164">
            <v>7.27</v>
          </cell>
        </row>
        <row r="165">
          <cell r="D165">
            <v>1</v>
          </cell>
        </row>
        <row r="166">
          <cell r="D166">
            <v>0.4</v>
          </cell>
        </row>
        <row r="167">
          <cell r="E167">
            <v>2.91</v>
          </cell>
        </row>
        <row r="169">
          <cell r="C169">
            <v>2</v>
          </cell>
          <cell r="D169">
            <v>0.625</v>
          </cell>
        </row>
        <row r="170">
          <cell r="D170">
            <v>0.70300000000000007</v>
          </cell>
        </row>
        <row r="171">
          <cell r="D171">
            <v>0.4</v>
          </cell>
        </row>
        <row r="172">
          <cell r="E172">
            <v>0.35</v>
          </cell>
        </row>
        <row r="174">
          <cell r="C174">
            <v>4</v>
          </cell>
          <cell r="D174">
            <v>3.1</v>
          </cell>
        </row>
        <row r="175">
          <cell r="D175">
            <v>0.40300000000000002</v>
          </cell>
        </row>
        <row r="176">
          <cell r="D176">
            <v>0.4</v>
          </cell>
        </row>
        <row r="177">
          <cell r="E177">
            <v>2</v>
          </cell>
        </row>
        <row r="179">
          <cell r="A179" t="str">
            <v>B1.7</v>
          </cell>
          <cell r="E179">
            <v>26.02</v>
          </cell>
        </row>
        <row r="181">
          <cell r="B181" t="str">
            <v>1.8 Back Fill Under Hardcore From Quarry</v>
          </cell>
        </row>
        <row r="183">
          <cell r="C183">
            <v>1</v>
          </cell>
          <cell r="D183">
            <v>203.13</v>
          </cell>
        </row>
        <row r="184">
          <cell r="D184">
            <v>0.74</v>
          </cell>
        </row>
        <row r="185">
          <cell r="E185">
            <v>150.32</v>
          </cell>
        </row>
        <row r="186">
          <cell r="A186" t="str">
            <v>B1.8</v>
          </cell>
          <cell r="E186">
            <v>150.32</v>
          </cell>
        </row>
        <row r="187">
          <cell r="A187" t="str">
            <v>B1.9</v>
          </cell>
        </row>
        <row r="188">
          <cell r="B188" t="str">
            <v>1.10 Cart away</v>
          </cell>
          <cell r="E188">
            <v>56.701999999999998</v>
          </cell>
        </row>
        <row r="189">
          <cell r="E189">
            <v>113.4</v>
          </cell>
        </row>
        <row r="190">
          <cell r="E190">
            <v>25.99</v>
          </cell>
        </row>
        <row r="191">
          <cell r="E191">
            <v>220.11</v>
          </cell>
        </row>
        <row r="192">
          <cell r="E192">
            <v>89.22</v>
          </cell>
        </row>
        <row r="193">
          <cell r="A193" t="str">
            <v>B1.10</v>
          </cell>
          <cell r="E193">
            <v>505.42</v>
          </cell>
        </row>
        <row r="195">
          <cell r="B195" t="str">
            <v>1.11 Hard core under 100mm thick ground floor slab</v>
          </cell>
        </row>
        <row r="196">
          <cell r="C196">
            <v>1</v>
          </cell>
          <cell r="D196">
            <v>22.42</v>
          </cell>
        </row>
        <row r="197">
          <cell r="D197">
            <v>10.984999999999999</v>
          </cell>
        </row>
        <row r="198">
          <cell r="E198">
            <v>246.28</v>
          </cell>
        </row>
        <row r="200">
          <cell r="C200">
            <v>-2</v>
          </cell>
          <cell r="D200">
            <v>1.33</v>
          </cell>
        </row>
        <row r="201">
          <cell r="D201">
            <v>4.0399999999999991</v>
          </cell>
        </row>
        <row r="202">
          <cell r="E202">
            <v>-10.75</v>
          </cell>
        </row>
        <row r="204">
          <cell r="C204">
            <v>-2</v>
          </cell>
          <cell r="D204">
            <v>27.025000000000006</v>
          </cell>
        </row>
        <row r="205">
          <cell r="D205">
            <v>0.2</v>
          </cell>
        </row>
        <row r="206">
          <cell r="E206">
            <v>-10.81</v>
          </cell>
        </row>
        <row r="208">
          <cell r="C208">
            <v>-1</v>
          </cell>
          <cell r="D208">
            <v>101.32</v>
          </cell>
        </row>
        <row r="209">
          <cell r="D209">
            <v>0.2</v>
          </cell>
        </row>
        <row r="210">
          <cell r="E210">
            <v>-20.260000000000002</v>
          </cell>
        </row>
        <row r="212">
          <cell r="C212">
            <v>-6</v>
          </cell>
          <cell r="D212">
            <v>0.25</v>
          </cell>
        </row>
        <row r="213">
          <cell r="D213">
            <v>0.4</v>
          </cell>
        </row>
        <row r="214">
          <cell r="E214">
            <v>-0.6</v>
          </cell>
        </row>
        <row r="216">
          <cell r="C216">
            <v>-12</v>
          </cell>
          <cell r="D216">
            <v>0.3</v>
          </cell>
        </row>
        <row r="217">
          <cell r="D217">
            <v>0.4</v>
          </cell>
        </row>
        <row r="218">
          <cell r="E218">
            <v>-1.44</v>
          </cell>
        </row>
        <row r="220">
          <cell r="A220" t="str">
            <v>B1.11</v>
          </cell>
          <cell r="E220">
            <v>202.42</v>
          </cell>
        </row>
        <row r="222">
          <cell r="B222" t="str">
            <v>3. Masonry Work</v>
          </cell>
          <cell r="C222">
            <v>1</v>
          </cell>
          <cell r="D222">
            <v>8.65</v>
          </cell>
        </row>
        <row r="223">
          <cell r="B223" t="str">
            <v>3.1 Below GL</v>
          </cell>
          <cell r="D223">
            <v>0.5</v>
          </cell>
        </row>
        <row r="224">
          <cell r="D224">
            <v>0.98</v>
          </cell>
        </row>
        <row r="225">
          <cell r="E225">
            <v>4.24</v>
          </cell>
        </row>
        <row r="227">
          <cell r="C227">
            <v>1</v>
          </cell>
          <cell r="D227">
            <v>8.65</v>
          </cell>
        </row>
        <row r="228">
          <cell r="D228">
            <v>0.5</v>
          </cell>
        </row>
        <row r="229">
          <cell r="D229">
            <v>1.0900000000000001</v>
          </cell>
        </row>
        <row r="230">
          <cell r="E230">
            <v>4.71</v>
          </cell>
        </row>
        <row r="232">
          <cell r="C232">
            <v>-6</v>
          </cell>
          <cell r="D232">
            <v>0.25</v>
          </cell>
        </row>
        <row r="233">
          <cell r="D233">
            <v>0.4</v>
          </cell>
        </row>
        <row r="234">
          <cell r="D234">
            <v>1</v>
          </cell>
        </row>
        <row r="235">
          <cell r="E235">
            <v>-0.6</v>
          </cell>
        </row>
        <row r="237">
          <cell r="C237">
            <v>1</v>
          </cell>
          <cell r="D237">
            <v>0.83</v>
          </cell>
        </row>
        <row r="238">
          <cell r="D238">
            <v>0.5</v>
          </cell>
        </row>
        <row r="239">
          <cell r="D239">
            <v>0.95</v>
          </cell>
        </row>
        <row r="240">
          <cell r="E240">
            <v>0.39</v>
          </cell>
        </row>
        <row r="241">
          <cell r="C241">
            <v>1</v>
          </cell>
          <cell r="D241">
            <v>0.83</v>
          </cell>
        </row>
        <row r="242">
          <cell r="D242">
            <v>0.5</v>
          </cell>
        </row>
        <row r="243">
          <cell r="D243">
            <v>1</v>
          </cell>
        </row>
        <row r="244">
          <cell r="E244">
            <v>0.42</v>
          </cell>
        </row>
        <row r="246">
          <cell r="C246">
            <v>-2</v>
          </cell>
          <cell r="D246">
            <v>0.3</v>
          </cell>
        </row>
        <row r="247">
          <cell r="D247">
            <v>0.4</v>
          </cell>
        </row>
        <row r="248">
          <cell r="D248">
            <v>1</v>
          </cell>
        </row>
        <row r="249">
          <cell r="E249">
            <v>-0.24</v>
          </cell>
        </row>
        <row r="251">
          <cell r="C251">
            <v>2</v>
          </cell>
          <cell r="D251">
            <v>4.54</v>
          </cell>
        </row>
        <row r="252">
          <cell r="D252">
            <v>0.5</v>
          </cell>
        </row>
        <row r="253">
          <cell r="D253">
            <v>0.98</v>
          </cell>
        </row>
        <row r="254">
          <cell r="E254">
            <v>4.45</v>
          </cell>
        </row>
        <row r="256">
          <cell r="C256">
            <v>1</v>
          </cell>
          <cell r="D256">
            <v>14.34</v>
          </cell>
        </row>
        <row r="257">
          <cell r="D257">
            <v>0.5</v>
          </cell>
        </row>
        <row r="258">
          <cell r="D258">
            <v>1</v>
          </cell>
        </row>
        <row r="259">
          <cell r="E259">
            <v>7.17</v>
          </cell>
        </row>
        <row r="261">
          <cell r="C261">
            <v>1</v>
          </cell>
          <cell r="D261">
            <v>22.42</v>
          </cell>
        </row>
        <row r="262">
          <cell r="D262">
            <v>0.5</v>
          </cell>
        </row>
        <row r="263">
          <cell r="D263">
            <v>0.92</v>
          </cell>
        </row>
        <row r="264">
          <cell r="E264">
            <v>10.31</v>
          </cell>
        </row>
        <row r="265">
          <cell r="A265" t="str">
            <v>B3.1</v>
          </cell>
          <cell r="E265">
            <v>30.85</v>
          </cell>
        </row>
        <row r="267">
          <cell r="B267" t="str">
            <v>3.2 Above GL</v>
          </cell>
        </row>
        <row r="268">
          <cell r="C268">
            <v>1</v>
          </cell>
          <cell r="D268">
            <v>8.65</v>
          </cell>
        </row>
        <row r="269">
          <cell r="D269">
            <v>0.5</v>
          </cell>
        </row>
        <row r="270">
          <cell r="D270">
            <v>0.22</v>
          </cell>
        </row>
        <row r="271">
          <cell r="E271">
            <v>0.95</v>
          </cell>
        </row>
        <row r="272">
          <cell r="C272">
            <v>1</v>
          </cell>
          <cell r="D272">
            <v>8.65</v>
          </cell>
        </row>
        <row r="273">
          <cell r="D273">
            <v>0.5</v>
          </cell>
        </row>
        <row r="274">
          <cell r="D274">
            <v>0.11</v>
          </cell>
        </row>
        <row r="275">
          <cell r="E275">
            <v>0.48</v>
          </cell>
        </row>
        <row r="276">
          <cell r="C276">
            <v>-6</v>
          </cell>
          <cell r="D276">
            <v>0.25</v>
          </cell>
        </row>
        <row r="277">
          <cell r="D277">
            <v>0.4</v>
          </cell>
        </row>
        <row r="278">
          <cell r="D278">
            <v>0.16500000000000001</v>
          </cell>
        </row>
        <row r="279">
          <cell r="E279">
            <v>-0.1</v>
          </cell>
        </row>
        <row r="281">
          <cell r="C281">
            <v>1</v>
          </cell>
          <cell r="D281">
            <v>0.83</v>
          </cell>
        </row>
        <row r="282">
          <cell r="D282">
            <v>0.5</v>
          </cell>
        </row>
        <row r="283">
          <cell r="D283">
            <v>0.05</v>
          </cell>
        </row>
        <row r="284">
          <cell r="E284">
            <v>0.02</v>
          </cell>
        </row>
        <row r="287">
          <cell r="C287">
            <v>2</v>
          </cell>
          <cell r="D287">
            <v>4.54</v>
          </cell>
        </row>
        <row r="288">
          <cell r="D288">
            <v>0.5</v>
          </cell>
        </row>
        <row r="289">
          <cell r="D289">
            <v>0.02</v>
          </cell>
        </row>
        <row r="290">
          <cell r="E290">
            <v>0.09</v>
          </cell>
        </row>
        <row r="293">
          <cell r="C293">
            <v>1</v>
          </cell>
          <cell r="D293">
            <v>22.42</v>
          </cell>
        </row>
        <row r="294">
          <cell r="D294">
            <v>0.5</v>
          </cell>
        </row>
        <row r="295">
          <cell r="D295">
            <v>0.28000000000000003</v>
          </cell>
        </row>
        <row r="296">
          <cell r="E296">
            <v>3.14</v>
          </cell>
        </row>
        <row r="297">
          <cell r="A297" t="str">
            <v>B3.2</v>
          </cell>
          <cell r="E297">
            <v>4.58</v>
          </cell>
        </row>
        <row r="298">
          <cell r="E298" t="str">
            <v/>
          </cell>
        </row>
      </sheetData>
      <sheetData sheetId="1"/>
      <sheetData sheetId="2"/>
      <sheetData sheetId="3">
        <row r="1">
          <cell r="B1" t="str">
            <v>Final Residence</v>
          </cell>
        </row>
      </sheetData>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05"/>
      <sheetName val="05 Sub Structure BC = 200"/>
      <sheetName val=" E2 Res (EXC&amp;MAS200kp) "/>
      <sheetName val=" E2 Res TAKOFF(con sub200kp)"/>
      <sheetName val=" TAKE OFF(form sub 200kp)"/>
      <sheetName val="E2 Res TAKE OFF(ref bar 200 kp)"/>
      <sheetName val=" TAKE OFF(con super 300kp)"/>
      <sheetName val=" TAKE OFF(form super 300kp)"/>
      <sheetName val="E2 Res TAKE OFF(ref sup 300 )"/>
      <sheetName val="E-2 Block work"/>
      <sheetName val="E-2 Plate Qty "/>
    </sheetNames>
    <sheetDataSet>
      <sheetData sheetId="0" refreshError="1">
        <row r="7">
          <cell r="H7" t="str">
            <v>Previous Qty</v>
          </cell>
        </row>
        <row r="39">
          <cell r="H39">
            <v>0</v>
          </cell>
        </row>
        <row r="48">
          <cell r="H48">
            <v>0</v>
          </cell>
        </row>
      </sheetData>
      <sheetData sheetId="1"/>
      <sheetData sheetId="2"/>
      <sheetData sheetId="3"/>
      <sheetData sheetId="4"/>
      <sheetData sheetId="5"/>
      <sheetData sheetId="6"/>
      <sheetData sheetId="7">
        <row r="7">
          <cell r="H7" t="str">
            <v>Previous Qty</v>
          </cell>
        </row>
      </sheetData>
      <sheetData sheetId="8"/>
      <sheetData sheetId="9"/>
      <sheetData sheetId="10"/>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 val="E-1Justification"/>
      <sheetName val="Pay-Cirteficate"/>
      <sheetName val="08 Summary"/>
      <sheetName val="truss"/>
      <sheetName val=" Latice Purlin "/>
    </sheetNames>
    <sheetDataSet>
      <sheetData sheetId="0" refreshError="1">
        <row r="23">
          <cell r="M23">
            <v>48628.979999999996</v>
          </cell>
        </row>
      </sheetData>
      <sheetData sheetId="1"/>
      <sheetData sheetId="2"/>
      <sheetData sheetId="3">
        <row r="23">
          <cell r="M23">
            <v>48628.979999999996</v>
          </cell>
        </row>
      </sheetData>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 val="Block Summary"/>
      <sheetName val="Summary"/>
      <sheetName val="Sub Structure BC = 300"/>
      <sheetName val="Ar &amp; St"/>
      <sheetName val="E-1 300kp SHOP. Sub St."/>
      <sheetName val="E-1-300 Kpa"/>
      <sheetName val="masonary data "/>
      <sheetName val="E-1 300kp  Sup St."/>
      <sheetName val="RB E-1 300kp Res. Super St."/>
    </sheetNames>
    <sheetDataSet>
      <sheetData sheetId="0" refreshError="1">
        <row r="4">
          <cell r="D4" t="str">
            <v>Dia</v>
          </cell>
        </row>
        <row r="8">
          <cell r="D8">
            <v>14</v>
          </cell>
        </row>
        <row r="9">
          <cell r="D9">
            <v>8</v>
          </cell>
        </row>
        <row r="10">
          <cell r="D10">
            <v>14</v>
          </cell>
        </row>
        <row r="11">
          <cell r="D11">
            <v>8</v>
          </cell>
        </row>
        <row r="12">
          <cell r="D12">
            <v>12</v>
          </cell>
        </row>
        <row r="13">
          <cell r="D13">
            <v>8</v>
          </cell>
        </row>
        <row r="14">
          <cell r="D14">
            <v>12</v>
          </cell>
        </row>
        <row r="15">
          <cell r="D15">
            <v>8</v>
          </cell>
        </row>
        <row r="18">
          <cell r="D18">
            <v>16</v>
          </cell>
        </row>
        <row r="19">
          <cell r="D19">
            <v>8</v>
          </cell>
        </row>
        <row r="20">
          <cell r="D20">
            <v>20</v>
          </cell>
        </row>
        <row r="21">
          <cell r="D21">
            <v>8</v>
          </cell>
        </row>
        <row r="22">
          <cell r="D22">
            <v>20</v>
          </cell>
        </row>
        <row r="23">
          <cell r="D23">
            <v>8</v>
          </cell>
        </row>
        <row r="24">
          <cell r="D24">
            <v>16</v>
          </cell>
        </row>
        <row r="25">
          <cell r="D25">
            <v>8</v>
          </cell>
        </row>
        <row r="26">
          <cell r="D26">
            <v>16</v>
          </cell>
        </row>
        <row r="27">
          <cell r="D27">
            <v>8</v>
          </cell>
        </row>
        <row r="28">
          <cell r="D28">
            <v>20</v>
          </cell>
        </row>
        <row r="29">
          <cell r="D29">
            <v>8</v>
          </cell>
        </row>
        <row r="30">
          <cell r="D30">
            <v>20</v>
          </cell>
        </row>
        <row r="31">
          <cell r="D31">
            <v>8</v>
          </cell>
        </row>
        <row r="32">
          <cell r="D32">
            <v>16</v>
          </cell>
        </row>
        <row r="33">
          <cell r="D33">
            <v>8</v>
          </cell>
        </row>
        <row r="34">
          <cell r="D34">
            <v>16</v>
          </cell>
        </row>
        <row r="35">
          <cell r="D35">
            <v>8</v>
          </cell>
        </row>
        <row r="36">
          <cell r="D36">
            <v>20</v>
          </cell>
        </row>
        <row r="37">
          <cell r="D37">
            <v>8</v>
          </cell>
        </row>
        <row r="38">
          <cell r="D38">
            <v>20</v>
          </cell>
        </row>
        <row r="39">
          <cell r="D39">
            <v>8</v>
          </cell>
        </row>
        <row r="40">
          <cell r="D40">
            <v>20</v>
          </cell>
        </row>
        <row r="41">
          <cell r="D41">
            <v>8</v>
          </cell>
        </row>
        <row r="42">
          <cell r="D42">
            <v>20</v>
          </cell>
        </row>
        <row r="43">
          <cell r="D43">
            <v>8</v>
          </cell>
        </row>
        <row r="44">
          <cell r="D44">
            <v>20</v>
          </cell>
        </row>
        <row r="45">
          <cell r="D45">
            <v>8</v>
          </cell>
        </row>
        <row r="46">
          <cell r="D46">
            <v>20</v>
          </cell>
        </row>
        <row r="47">
          <cell r="D47">
            <v>8</v>
          </cell>
        </row>
        <row r="48">
          <cell r="D48">
            <v>16</v>
          </cell>
        </row>
        <row r="49">
          <cell r="D49">
            <v>8</v>
          </cell>
        </row>
        <row r="50">
          <cell r="D50">
            <v>16</v>
          </cell>
        </row>
        <row r="51">
          <cell r="D51">
            <v>8</v>
          </cell>
        </row>
        <row r="52">
          <cell r="D52">
            <v>20</v>
          </cell>
        </row>
        <row r="53">
          <cell r="D53">
            <v>8</v>
          </cell>
        </row>
        <row r="54">
          <cell r="D54">
            <v>20</v>
          </cell>
        </row>
        <row r="55">
          <cell r="D55">
            <v>8</v>
          </cell>
        </row>
        <row r="56">
          <cell r="D56">
            <v>16</v>
          </cell>
        </row>
        <row r="57">
          <cell r="D57">
            <v>8</v>
          </cell>
        </row>
        <row r="58">
          <cell r="D58">
            <v>16</v>
          </cell>
        </row>
        <row r="59">
          <cell r="D59">
            <v>8</v>
          </cell>
        </row>
        <row r="60">
          <cell r="D60">
            <v>20</v>
          </cell>
        </row>
        <row r="61">
          <cell r="D61">
            <v>8</v>
          </cell>
        </row>
        <row r="62">
          <cell r="D62">
            <v>20</v>
          </cell>
        </row>
        <row r="63">
          <cell r="D63">
            <v>8</v>
          </cell>
        </row>
        <row r="64">
          <cell r="D64">
            <v>16</v>
          </cell>
        </row>
        <row r="65">
          <cell r="D65">
            <v>8</v>
          </cell>
        </row>
        <row r="68">
          <cell r="D68">
            <v>14</v>
          </cell>
        </row>
        <row r="69">
          <cell r="D69">
            <v>14</v>
          </cell>
        </row>
        <row r="70">
          <cell r="D70">
            <v>12</v>
          </cell>
        </row>
        <row r="71">
          <cell r="D71">
            <v>12</v>
          </cell>
        </row>
        <row r="72">
          <cell r="D72">
            <v>14</v>
          </cell>
        </row>
        <row r="73">
          <cell r="D73">
            <v>8</v>
          </cell>
        </row>
        <row r="74">
          <cell r="D74">
            <v>14</v>
          </cell>
        </row>
        <row r="75">
          <cell r="D75">
            <v>14</v>
          </cell>
        </row>
        <row r="76">
          <cell r="D76">
            <v>12</v>
          </cell>
        </row>
        <row r="77">
          <cell r="D77">
            <v>12</v>
          </cell>
        </row>
        <row r="78">
          <cell r="D78">
            <v>8</v>
          </cell>
        </row>
        <row r="79">
          <cell r="D79">
            <v>14</v>
          </cell>
        </row>
        <row r="80">
          <cell r="D80">
            <v>12</v>
          </cell>
        </row>
        <row r="81">
          <cell r="D81">
            <v>8</v>
          </cell>
        </row>
        <row r="82">
          <cell r="D82">
            <v>14</v>
          </cell>
        </row>
        <row r="83">
          <cell r="D83">
            <v>12</v>
          </cell>
        </row>
        <row r="84">
          <cell r="D84">
            <v>8</v>
          </cell>
        </row>
        <row r="85">
          <cell r="D85">
            <v>14</v>
          </cell>
        </row>
        <row r="86">
          <cell r="D86">
            <v>12</v>
          </cell>
        </row>
        <row r="87">
          <cell r="D87">
            <v>8</v>
          </cell>
        </row>
        <row r="88">
          <cell r="D88">
            <v>14</v>
          </cell>
        </row>
        <row r="89">
          <cell r="D89">
            <v>12</v>
          </cell>
        </row>
        <row r="90">
          <cell r="D90">
            <v>8</v>
          </cell>
        </row>
        <row r="91">
          <cell r="D91">
            <v>14</v>
          </cell>
        </row>
        <row r="92">
          <cell r="D92">
            <v>12</v>
          </cell>
        </row>
        <row r="93">
          <cell r="D93">
            <v>8</v>
          </cell>
        </row>
        <row r="95">
          <cell r="D95">
            <v>6</v>
          </cell>
        </row>
        <row r="96">
          <cell r="D96">
            <v>6</v>
          </cell>
        </row>
        <row r="97">
          <cell r="D97">
            <v>6</v>
          </cell>
        </row>
        <row r="98">
          <cell r="D98">
            <v>6</v>
          </cell>
        </row>
        <row r="99">
          <cell r="D99">
            <v>6</v>
          </cell>
        </row>
        <row r="100">
          <cell r="D100">
            <v>6</v>
          </cell>
        </row>
        <row r="101">
          <cell r="D101">
            <v>6</v>
          </cell>
        </row>
        <row r="102">
          <cell r="D102">
            <v>6</v>
          </cell>
        </row>
        <row r="103">
          <cell r="D103">
            <v>6</v>
          </cell>
        </row>
        <row r="104">
          <cell r="D104">
            <v>6</v>
          </cell>
        </row>
        <row r="105">
          <cell r="D105">
            <v>6</v>
          </cell>
        </row>
        <row r="106">
          <cell r="D106">
            <v>6</v>
          </cell>
        </row>
        <row r="107">
          <cell r="D107">
            <v>6</v>
          </cell>
        </row>
        <row r="108">
          <cell r="D108">
            <v>6</v>
          </cell>
        </row>
        <row r="109">
          <cell r="D109">
            <v>6</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YOKA CONS. A2,E1-YESHITILAX"/>
      <sheetName val="Tesfu Beyen- A2,E1-Fev X"/>
      <sheetName val="Sisay Tedla b.c.- A2,E1-FevX "/>
      <sheetName val="Wendwessen- A2,A1-fevenV "/>
      <sheetName val="Teshale Asrat- E2,E1-YeteshaX"/>
      <sheetName val="Adot con.- A2,E1-YeteshaX"/>
      <sheetName val="Eshetu Yirdaw bc.-A2,E1-TsedeyV"/>
      <sheetName val="Amha Wegayehu- E2,E1-Tsedey"/>
      <sheetName val="Sara B.c.- A2,E1-TsedeyV"/>
      <sheetName val="Seid Abdela-A2,E1-TsedeyV"/>
      <sheetName val="kinfe hailu,e1,a2(dagne)X"/>
      <sheetName val="mathios teshome E1,E2 (dagne)X"/>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 val="05 Block Summary"/>
      <sheetName val="05 Summary"/>
      <sheetName val="05 Sub Structure BC = 300"/>
      <sheetName val="06 to 08 A-2 300kp Res. Sub St."/>
      <sheetName val="05 RB A-2 300kp Res. Sub St."/>
      <sheetName val="05 A-2 300kp Res. Sup St."/>
      <sheetName val="05 RB A-2 300kp Res. Super St."/>
      <sheetName val="A-2 blcok work Res."/>
      <sheetName val="Structural Steel Works"/>
      <sheetName val="Block C take off"/>
    </sheetNames>
    <sheetDataSet>
      <sheetData sheetId="0" refreshError="1">
        <row r="2">
          <cell r="E2" t="str">
            <v>PROJECT:</v>
          </cell>
        </row>
        <row r="69">
          <cell r="M69">
            <v>6342</v>
          </cell>
        </row>
      </sheetData>
      <sheetData sheetId="1" refreshError="1"/>
      <sheetData sheetId="2">
        <row r="2">
          <cell r="E2" t="str">
            <v>PROJECT:</v>
          </cell>
        </row>
      </sheetData>
      <sheetData sheetId="3">
        <row r="2">
          <cell r="E2" t="str">
            <v>PROJECT:</v>
          </cell>
        </row>
      </sheetData>
      <sheetData sheetId="4" refreshError="1"/>
      <sheetData sheetId="5">
        <row r="2">
          <cell r="E2" t="str">
            <v>PROJECT:</v>
          </cell>
        </row>
      </sheetData>
      <sheetData sheetId="6" refreshError="1"/>
      <sheetData sheetId="7" refreshError="1"/>
      <sheetData sheetId="8">
        <row r="1">
          <cell r="B1" t="str">
            <v>Project: Low Cost Housing Development Project</v>
          </cell>
        </row>
      </sheetData>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 val="Dayworks Bill"/>
      <sheetName val="Summary of Contract"/>
      <sheetName val="specification"/>
      <sheetName val="Sheet1"/>
      <sheetName val="1300"/>
      <sheetName val="MOTOR"/>
      <sheetName val="Sheet4"/>
      <sheetName val="Cash Flow"/>
      <sheetName val="G+4"/>
      <sheetName val="06 to 08 Ar &amp; St"/>
      <sheetName val="자압"/>
      <sheetName val="RB E-1 300kp SHOP. Sub St."/>
      <sheetName val="Design calc"/>
      <sheetName val="Equipment"/>
      <sheetName val="Material"/>
      <sheetName val="Rates"/>
    </sheetNames>
    <sheetDataSet>
      <sheetData sheetId="0" refreshError="1">
        <row r="17">
          <cell r="O17">
            <v>327.05</v>
          </cell>
        </row>
        <row r="30">
          <cell r="O30">
            <v>13065</v>
          </cell>
        </row>
        <row r="89">
          <cell r="O89">
            <v>77233.5</v>
          </cell>
        </row>
        <row r="126">
          <cell r="O126">
            <v>363006.8</v>
          </cell>
        </row>
        <row r="151">
          <cell r="O151">
            <v>11442</v>
          </cell>
        </row>
        <row r="201">
          <cell r="O201">
            <v>11134045</v>
          </cell>
        </row>
      </sheetData>
      <sheetData sheetId="1"/>
      <sheetData sheetId="2" refreshError="1"/>
      <sheetData sheetId="3">
        <row r="17">
          <cell r="O17">
            <v>327.05</v>
          </cell>
        </row>
      </sheetData>
      <sheetData sheetId="4">
        <row r="17">
          <cell r="O17">
            <v>327.05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 val="Block Summary"/>
      <sheetName val="Summary"/>
      <sheetName val="Sub Structure BC = 200"/>
      <sheetName val="E-1 200kp Res. Sub St."/>
      <sheetName val="Excavation data"/>
      <sheetName val="E1 trench &amp; masonary "/>
      <sheetName val="RB E-1 200kp Res. Sub St."/>
      <sheetName val="RB E-1 200kp Res. Super St."/>
      <sheetName val="E-1 Block Work Residence"/>
      <sheetName val="Roofing"/>
      <sheetName val="E-1 Plate Qty old drwg"/>
      <sheetName val="Truss"/>
      <sheetName val="Latice Purlin "/>
      <sheetName val="Plastering for Res."/>
      <sheetName val="E-1 Plate Qty NEW DRWG"/>
      <sheetName val="Truss old drwg"/>
      <sheetName val="Truss new drwg"/>
      <sheetName val="Latice Purlin  Old drwg"/>
      <sheetName val=" Latice Pulin new drwg "/>
    </sheetNames>
    <sheetDataSet>
      <sheetData sheetId="0" refreshError="1">
        <row r="46">
          <cell r="M46">
            <v>197069.65000000002</v>
          </cell>
        </row>
      </sheetData>
      <sheetData sheetId="1" refreshError="1">
        <row r="1">
          <cell r="B1" t="str">
            <v>Project: Low Cost Housing Development Project</v>
          </cell>
        </row>
        <row r="2">
          <cell r="B2" t="str">
            <v>Location: Jemmo II</v>
          </cell>
        </row>
        <row r="3">
          <cell r="B3" t="str">
            <v>Client: Nifasilk Lafto Sub-City</v>
          </cell>
        </row>
        <row r="4">
          <cell r="B4" t="str">
            <v>Contractor: BEHAILU YESEGATE B.C</v>
          </cell>
        </row>
        <row r="5">
          <cell r="B5" t="str">
            <v>Consultant: MGM Consult PLC</v>
          </cell>
        </row>
        <row r="6">
          <cell r="A6" t="str">
            <v>Code</v>
          </cell>
          <cell r="B6" t="str">
            <v>Timizing</v>
          </cell>
          <cell r="E6" t="str">
            <v>Dimension</v>
          </cell>
          <cell r="F6" t="str">
            <v>Qty</v>
          </cell>
        </row>
        <row r="13">
          <cell r="B13">
            <v>1</v>
          </cell>
          <cell r="C13">
            <v>1</v>
          </cell>
          <cell r="D13">
            <v>18</v>
          </cell>
          <cell r="E13">
            <v>0.25</v>
          </cell>
        </row>
        <row r="14">
          <cell r="E14">
            <v>0.4</v>
          </cell>
        </row>
        <row r="15">
          <cell r="E15">
            <v>2.4</v>
          </cell>
        </row>
        <row r="16">
          <cell r="F16">
            <v>4.32</v>
          </cell>
        </row>
        <row r="17">
          <cell r="B17">
            <v>1</v>
          </cell>
          <cell r="C17">
            <v>1</v>
          </cell>
          <cell r="D17">
            <v>6</v>
          </cell>
          <cell r="E17">
            <v>0.3</v>
          </cell>
        </row>
        <row r="18">
          <cell r="E18">
            <v>0.4</v>
          </cell>
        </row>
        <row r="19">
          <cell r="E19">
            <v>2.4</v>
          </cell>
        </row>
        <row r="20">
          <cell r="F20">
            <v>1.73</v>
          </cell>
        </row>
        <row r="22">
          <cell r="B22">
            <v>1</v>
          </cell>
          <cell r="C22">
            <v>3</v>
          </cell>
          <cell r="D22">
            <v>24</v>
          </cell>
          <cell r="E22">
            <v>0.25</v>
          </cell>
        </row>
        <row r="23">
          <cell r="E23">
            <v>0.4</v>
          </cell>
        </row>
        <row r="24">
          <cell r="E24">
            <v>2.4</v>
          </cell>
        </row>
        <row r="25">
          <cell r="F25">
            <v>17.28</v>
          </cell>
        </row>
        <row r="27">
          <cell r="B27">
            <v>1</v>
          </cell>
          <cell r="C27">
            <v>1</v>
          </cell>
          <cell r="D27">
            <v>24</v>
          </cell>
          <cell r="E27">
            <v>0.25</v>
          </cell>
        </row>
        <row r="28">
          <cell r="E28">
            <v>0.4</v>
          </cell>
        </row>
        <row r="29">
          <cell r="E29">
            <v>2.58</v>
          </cell>
        </row>
        <row r="30">
          <cell r="F30">
            <v>6.19</v>
          </cell>
        </row>
        <row r="31">
          <cell r="A31" t="str">
            <v>C1.1a</v>
          </cell>
          <cell r="F31">
            <v>29.520000000000003</v>
          </cell>
        </row>
        <row r="35">
          <cell r="B35">
            <v>1</v>
          </cell>
          <cell r="C35">
            <v>4</v>
          </cell>
          <cell r="D35">
            <v>4</v>
          </cell>
          <cell r="E35">
            <v>8.1999999999999993</v>
          </cell>
        </row>
        <row r="36">
          <cell r="E36">
            <v>0.2</v>
          </cell>
        </row>
        <row r="37">
          <cell r="E37">
            <v>0.48</v>
          </cell>
        </row>
        <row r="38">
          <cell r="F38">
            <v>12.6</v>
          </cell>
        </row>
        <row r="39">
          <cell r="B39">
            <v>1</v>
          </cell>
          <cell r="C39">
            <v>4</v>
          </cell>
          <cell r="D39">
            <v>4</v>
          </cell>
          <cell r="E39">
            <v>9.5300000000000011</v>
          </cell>
        </row>
        <row r="40">
          <cell r="E40">
            <v>0.2</v>
          </cell>
        </row>
        <row r="41">
          <cell r="E41">
            <v>0.48</v>
          </cell>
        </row>
        <row r="42">
          <cell r="F42">
            <v>14.64</v>
          </cell>
        </row>
        <row r="43">
          <cell r="B43">
            <v>1</v>
          </cell>
          <cell r="C43">
            <v>4</v>
          </cell>
          <cell r="D43">
            <v>2</v>
          </cell>
          <cell r="E43">
            <v>30.520000000000003</v>
          </cell>
        </row>
        <row r="44">
          <cell r="E44">
            <v>0.2</v>
          </cell>
        </row>
        <row r="45">
          <cell r="E45">
            <v>0.48</v>
          </cell>
        </row>
        <row r="46">
          <cell r="F46">
            <v>23.44</v>
          </cell>
        </row>
        <row r="47">
          <cell r="B47">
            <v>1</v>
          </cell>
          <cell r="C47">
            <v>4</v>
          </cell>
          <cell r="D47">
            <v>2</v>
          </cell>
          <cell r="E47">
            <v>3.84</v>
          </cell>
        </row>
        <row r="48">
          <cell r="E48">
            <v>0.2</v>
          </cell>
        </row>
        <row r="49">
          <cell r="E49">
            <v>0.48</v>
          </cell>
        </row>
        <row r="50">
          <cell r="F50">
            <v>2.95</v>
          </cell>
        </row>
        <row r="51">
          <cell r="B51">
            <v>1</v>
          </cell>
          <cell r="C51">
            <v>4</v>
          </cell>
          <cell r="D51">
            <v>1</v>
          </cell>
          <cell r="E51">
            <v>9.6999999999999993</v>
          </cell>
        </row>
        <row r="52">
          <cell r="E52">
            <v>0.2</v>
          </cell>
        </row>
        <row r="53">
          <cell r="E53">
            <v>0.48</v>
          </cell>
        </row>
        <row r="54">
          <cell r="F54">
            <v>3.72</v>
          </cell>
        </row>
        <row r="55">
          <cell r="B55">
            <v>1</v>
          </cell>
          <cell r="C55">
            <v>4</v>
          </cell>
          <cell r="D55">
            <v>1</v>
          </cell>
          <cell r="E55">
            <v>3.79</v>
          </cell>
        </row>
        <row r="56">
          <cell r="E56">
            <v>0.2</v>
          </cell>
        </row>
        <row r="57">
          <cell r="E57">
            <v>0.4</v>
          </cell>
        </row>
        <row r="58">
          <cell r="F58">
            <v>1.21</v>
          </cell>
        </row>
        <row r="60">
          <cell r="B60">
            <v>1</v>
          </cell>
          <cell r="C60">
            <v>1</v>
          </cell>
          <cell r="D60">
            <v>18</v>
          </cell>
          <cell r="E60">
            <v>0.25</v>
          </cell>
        </row>
        <row r="61">
          <cell r="E61">
            <v>0.4</v>
          </cell>
        </row>
        <row r="62">
          <cell r="E62">
            <v>0.48</v>
          </cell>
        </row>
        <row r="63">
          <cell r="F63">
            <v>0.86</v>
          </cell>
        </row>
        <row r="64">
          <cell r="B64">
            <v>1</v>
          </cell>
          <cell r="C64">
            <v>1</v>
          </cell>
          <cell r="D64">
            <v>6</v>
          </cell>
          <cell r="E64">
            <v>0.3</v>
          </cell>
        </row>
        <row r="65">
          <cell r="E65">
            <v>0.4</v>
          </cell>
        </row>
        <row r="66">
          <cell r="E66">
            <v>0.48</v>
          </cell>
        </row>
        <row r="67">
          <cell r="F67">
            <v>0.35</v>
          </cell>
        </row>
        <row r="69">
          <cell r="B69">
            <v>1</v>
          </cell>
          <cell r="C69">
            <v>3</v>
          </cell>
          <cell r="D69">
            <v>24</v>
          </cell>
          <cell r="E69">
            <v>0.25</v>
          </cell>
        </row>
        <row r="70">
          <cell r="E70">
            <v>0.4</v>
          </cell>
        </row>
        <row r="71">
          <cell r="E71">
            <v>0.48</v>
          </cell>
        </row>
        <row r="72">
          <cell r="F72">
            <v>3.46</v>
          </cell>
        </row>
        <row r="74">
          <cell r="B74">
            <v>1</v>
          </cell>
          <cell r="C74">
            <v>1</v>
          </cell>
          <cell r="D74">
            <v>4</v>
          </cell>
          <cell r="E74">
            <v>8.1999999999999993</v>
          </cell>
        </row>
        <row r="75">
          <cell r="E75">
            <v>0.2</v>
          </cell>
        </row>
        <row r="76">
          <cell r="E76">
            <v>0.3</v>
          </cell>
        </row>
        <row r="77">
          <cell r="F77">
            <v>1.97</v>
          </cell>
        </row>
        <row r="78">
          <cell r="B78">
            <v>1</v>
          </cell>
          <cell r="C78">
            <v>1</v>
          </cell>
          <cell r="D78">
            <v>4</v>
          </cell>
          <cell r="E78">
            <v>9.5300000000000011</v>
          </cell>
        </row>
        <row r="79">
          <cell r="E79">
            <v>0.2</v>
          </cell>
        </row>
        <row r="80">
          <cell r="E80">
            <v>0.3</v>
          </cell>
        </row>
        <row r="81">
          <cell r="F81">
            <v>2.29</v>
          </cell>
        </row>
        <row r="82">
          <cell r="B82">
            <v>1</v>
          </cell>
          <cell r="C82">
            <v>1</v>
          </cell>
          <cell r="D82">
            <v>2</v>
          </cell>
          <cell r="E82">
            <v>5</v>
          </cell>
        </row>
        <row r="83">
          <cell r="E83">
            <v>0.2</v>
          </cell>
        </row>
        <row r="84">
          <cell r="E84">
            <v>0.3</v>
          </cell>
        </row>
        <row r="85">
          <cell r="F85">
            <v>0.6</v>
          </cell>
        </row>
        <row r="86">
          <cell r="B86">
            <v>1</v>
          </cell>
          <cell r="C86">
            <v>1</v>
          </cell>
          <cell r="D86">
            <v>1</v>
          </cell>
          <cell r="E86">
            <v>9.6999999999999993</v>
          </cell>
        </row>
        <row r="87">
          <cell r="E87">
            <v>0.2</v>
          </cell>
        </row>
        <row r="88">
          <cell r="E88">
            <v>0.3</v>
          </cell>
        </row>
        <row r="89">
          <cell r="F89">
            <v>0.57999999999999996</v>
          </cell>
        </row>
        <row r="90">
          <cell r="B90">
            <v>1</v>
          </cell>
          <cell r="C90">
            <v>1</v>
          </cell>
          <cell r="D90">
            <v>1</v>
          </cell>
          <cell r="E90">
            <v>20.92</v>
          </cell>
        </row>
        <row r="91">
          <cell r="E91">
            <v>0.2</v>
          </cell>
        </row>
        <row r="92">
          <cell r="E92">
            <v>0.3</v>
          </cell>
        </row>
        <row r="93">
          <cell r="F93">
            <v>1.26</v>
          </cell>
        </row>
        <row r="94">
          <cell r="B94">
            <v>1</v>
          </cell>
          <cell r="C94">
            <v>1</v>
          </cell>
          <cell r="D94">
            <v>1</v>
          </cell>
          <cell r="E94">
            <v>3.84</v>
          </cell>
        </row>
        <row r="95">
          <cell r="E95">
            <v>0.2</v>
          </cell>
        </row>
        <row r="96">
          <cell r="E96">
            <v>0.3</v>
          </cell>
        </row>
        <row r="98">
          <cell r="B98">
            <v>1</v>
          </cell>
          <cell r="C98">
            <v>1</v>
          </cell>
          <cell r="D98">
            <v>1</v>
          </cell>
          <cell r="E98">
            <v>9.6</v>
          </cell>
        </row>
        <row r="99">
          <cell r="E99">
            <v>0.2</v>
          </cell>
        </row>
        <row r="100">
          <cell r="E100">
            <v>0.3</v>
          </cell>
        </row>
        <row r="101">
          <cell r="F101">
            <v>0.57999999999999996</v>
          </cell>
        </row>
        <row r="102">
          <cell r="B102">
            <v>1</v>
          </cell>
          <cell r="C102">
            <v>1</v>
          </cell>
          <cell r="D102">
            <v>1</v>
          </cell>
          <cell r="E102">
            <v>17.38</v>
          </cell>
        </row>
        <row r="103">
          <cell r="E103">
            <v>0.2</v>
          </cell>
        </row>
        <row r="104">
          <cell r="E104">
            <v>0.3</v>
          </cell>
        </row>
        <row r="105">
          <cell r="F105">
            <v>1.04</v>
          </cell>
        </row>
        <row r="106">
          <cell r="B106">
            <v>1</v>
          </cell>
          <cell r="C106">
            <v>1</v>
          </cell>
          <cell r="D106">
            <v>1</v>
          </cell>
          <cell r="E106">
            <v>30.520000000000003</v>
          </cell>
        </row>
        <row r="107">
          <cell r="E107">
            <v>0.2</v>
          </cell>
        </row>
        <row r="108">
          <cell r="E108">
            <v>0.3</v>
          </cell>
        </row>
        <row r="109">
          <cell r="F109">
            <v>1.83</v>
          </cell>
        </row>
        <row r="111">
          <cell r="B111">
            <v>1</v>
          </cell>
          <cell r="C111">
            <v>1</v>
          </cell>
          <cell r="D111">
            <v>24</v>
          </cell>
          <cell r="E111">
            <v>0.25</v>
          </cell>
        </row>
        <row r="112">
          <cell r="E112">
            <v>0.4</v>
          </cell>
        </row>
        <row r="113">
          <cell r="E113">
            <v>0.3</v>
          </cell>
        </row>
        <row r="114">
          <cell r="F114">
            <v>0.72</v>
          </cell>
        </row>
        <row r="115">
          <cell r="A115" t="str">
            <v>C1.1b</v>
          </cell>
          <cell r="F115">
            <v>74.099999999999994</v>
          </cell>
        </row>
        <row r="117">
          <cell r="B117">
            <v>1</v>
          </cell>
          <cell r="C117">
            <v>1</v>
          </cell>
          <cell r="D117">
            <v>1</v>
          </cell>
          <cell r="E117">
            <v>2.8795000000000002</v>
          </cell>
        </row>
        <row r="118">
          <cell r="E118">
            <v>1.35</v>
          </cell>
        </row>
        <row r="119">
          <cell r="E119">
            <v>0.15</v>
          </cell>
        </row>
        <row r="120">
          <cell r="F120">
            <v>0.57999999999999996</v>
          </cell>
        </row>
        <row r="121">
          <cell r="B121">
            <v>1</v>
          </cell>
          <cell r="C121">
            <v>1</v>
          </cell>
          <cell r="D121">
            <v>4</v>
          </cell>
          <cell r="E121">
            <v>3.1139999999999999</v>
          </cell>
        </row>
        <row r="122">
          <cell r="E122">
            <v>1.35</v>
          </cell>
        </row>
        <row r="123">
          <cell r="E123">
            <v>0.15</v>
          </cell>
        </row>
        <row r="124">
          <cell r="F124">
            <v>2.52</v>
          </cell>
        </row>
        <row r="125">
          <cell r="B125">
            <v>1</v>
          </cell>
          <cell r="C125">
            <v>1</v>
          </cell>
          <cell r="D125">
            <v>3</v>
          </cell>
          <cell r="E125">
            <v>3.044</v>
          </cell>
        </row>
        <row r="126">
          <cell r="E126">
            <v>1.35</v>
          </cell>
        </row>
        <row r="127">
          <cell r="E127">
            <v>0.15</v>
          </cell>
        </row>
        <row r="128">
          <cell r="F128">
            <v>1.85</v>
          </cell>
        </row>
        <row r="129">
          <cell r="B129">
            <v>1</v>
          </cell>
          <cell r="C129">
            <v>9</v>
          </cell>
          <cell r="D129">
            <v>8</v>
          </cell>
          <cell r="E129">
            <v>0.3</v>
          </cell>
        </row>
        <row r="130">
          <cell r="E130">
            <v>1.35</v>
          </cell>
        </row>
        <row r="131">
          <cell r="E131">
            <v>0.16</v>
          </cell>
        </row>
        <row r="132">
          <cell r="E132">
            <v>0.5</v>
          </cell>
        </row>
        <row r="133">
          <cell r="F133">
            <v>2.33</v>
          </cell>
        </row>
        <row r="134">
          <cell r="B134">
            <v>1</v>
          </cell>
          <cell r="C134">
            <v>1</v>
          </cell>
          <cell r="D134">
            <v>4</v>
          </cell>
          <cell r="E134">
            <v>3.84</v>
          </cell>
        </row>
        <row r="135">
          <cell r="E135">
            <v>0.81499999999999995</v>
          </cell>
        </row>
        <row r="136">
          <cell r="E136">
            <v>0.15</v>
          </cell>
        </row>
        <row r="137">
          <cell r="F137">
            <v>1.88</v>
          </cell>
        </row>
        <row r="138">
          <cell r="B138">
            <v>1</v>
          </cell>
          <cell r="C138">
            <v>1</v>
          </cell>
          <cell r="D138">
            <v>4</v>
          </cell>
          <cell r="E138">
            <v>3.84</v>
          </cell>
        </row>
        <row r="139">
          <cell r="E139">
            <v>0.32350000000000001</v>
          </cell>
        </row>
        <row r="140">
          <cell r="E140">
            <v>0.15</v>
          </cell>
        </row>
        <row r="141">
          <cell r="F141">
            <v>0.75</v>
          </cell>
        </row>
        <row r="142">
          <cell r="B142">
            <v>1</v>
          </cell>
          <cell r="C142">
            <v>1</v>
          </cell>
          <cell r="D142">
            <v>3</v>
          </cell>
          <cell r="E142">
            <v>2.4900000000000002</v>
          </cell>
          <cell r="F142" t="str">
            <v/>
          </cell>
        </row>
        <row r="143">
          <cell r="E143">
            <v>0.39349999999999996</v>
          </cell>
        </row>
        <row r="144">
          <cell r="E144">
            <v>0.15</v>
          </cell>
        </row>
        <row r="145">
          <cell r="F145">
            <v>0.44</v>
          </cell>
        </row>
        <row r="146">
          <cell r="A146" t="str">
            <v>C1.1c</v>
          </cell>
          <cell r="F146">
            <v>10.35</v>
          </cell>
        </row>
        <row r="149">
          <cell r="B149">
            <v>1</v>
          </cell>
          <cell r="C149">
            <v>4</v>
          </cell>
          <cell r="D149">
            <v>26</v>
          </cell>
          <cell r="E149">
            <v>0.51</v>
          </cell>
        </row>
        <row r="150">
          <cell r="E150">
            <v>0.2</v>
          </cell>
        </row>
        <row r="151">
          <cell r="E151">
            <v>0.22</v>
          </cell>
        </row>
        <row r="152">
          <cell r="F152">
            <v>2.33</v>
          </cell>
        </row>
        <row r="153">
          <cell r="B153">
            <v>1</v>
          </cell>
          <cell r="C153">
            <v>4</v>
          </cell>
          <cell r="D153">
            <v>14</v>
          </cell>
          <cell r="E153">
            <v>0.25</v>
          </cell>
        </row>
        <row r="154">
          <cell r="E154">
            <v>0.2</v>
          </cell>
        </row>
        <row r="155">
          <cell r="E155">
            <v>0.22</v>
          </cell>
        </row>
        <row r="156">
          <cell r="F156">
            <v>0.62</v>
          </cell>
        </row>
        <row r="157">
          <cell r="A157" t="str">
            <v>C1.1d</v>
          </cell>
          <cell r="F157">
            <v>2.95</v>
          </cell>
        </row>
        <row r="160">
          <cell r="B160">
            <v>4</v>
          </cell>
          <cell r="C160">
            <v>1</v>
          </cell>
          <cell r="D160">
            <v>1</v>
          </cell>
          <cell r="E160">
            <v>2.2200000000000002</v>
          </cell>
        </row>
        <row r="161">
          <cell r="E161">
            <v>1.7549999999999999</v>
          </cell>
        </row>
        <row r="162">
          <cell r="E162">
            <v>0.06</v>
          </cell>
        </row>
        <row r="163">
          <cell r="F163">
            <v>0.94</v>
          </cell>
        </row>
        <row r="164">
          <cell r="B164">
            <v>4</v>
          </cell>
          <cell r="C164">
            <v>1</v>
          </cell>
          <cell r="D164">
            <v>1</v>
          </cell>
          <cell r="E164">
            <v>1.8149999999999999</v>
          </cell>
        </row>
        <row r="165">
          <cell r="E165">
            <v>1.37</v>
          </cell>
        </row>
        <row r="166">
          <cell r="E166">
            <v>0.06</v>
          </cell>
        </row>
        <row r="167">
          <cell r="F167">
            <v>0.6</v>
          </cell>
        </row>
        <row r="168">
          <cell r="B168">
            <v>4</v>
          </cell>
          <cell r="C168">
            <v>1</v>
          </cell>
          <cell r="D168">
            <v>2</v>
          </cell>
          <cell r="E168">
            <v>2.125</v>
          </cell>
        </row>
        <row r="169">
          <cell r="E169">
            <v>1.61</v>
          </cell>
        </row>
        <row r="170">
          <cell r="E170">
            <v>0.06</v>
          </cell>
        </row>
        <row r="171">
          <cell r="F171">
            <v>1.64</v>
          </cell>
        </row>
        <row r="172">
          <cell r="B172">
            <v>4</v>
          </cell>
          <cell r="C172">
            <v>1</v>
          </cell>
          <cell r="D172">
            <v>1</v>
          </cell>
          <cell r="E172">
            <v>1.61</v>
          </cell>
        </row>
        <row r="173">
          <cell r="E173">
            <v>2.2000000000000002</v>
          </cell>
        </row>
        <row r="174">
          <cell r="E174">
            <v>0.06</v>
          </cell>
        </row>
        <row r="175">
          <cell r="F175">
            <v>0.85</v>
          </cell>
        </row>
        <row r="176">
          <cell r="B176">
            <v>4</v>
          </cell>
          <cell r="C176">
            <v>1</v>
          </cell>
          <cell r="D176">
            <v>1</v>
          </cell>
          <cell r="E176">
            <v>1.41</v>
          </cell>
        </row>
        <row r="177">
          <cell r="E177">
            <v>1.8</v>
          </cell>
        </row>
        <row r="178">
          <cell r="E178">
            <v>0.06</v>
          </cell>
        </row>
        <row r="179">
          <cell r="F179">
            <v>0.61</v>
          </cell>
        </row>
        <row r="180">
          <cell r="A180" t="str">
            <v>C1.1e</v>
          </cell>
          <cell r="F180">
            <v>4.6399999999999997</v>
          </cell>
        </row>
        <row r="183">
          <cell r="B183">
            <v>1</v>
          </cell>
          <cell r="C183">
            <v>1</v>
          </cell>
          <cell r="D183">
            <v>2</v>
          </cell>
          <cell r="E183">
            <v>4.8499999999999996</v>
          </cell>
        </row>
        <row r="184">
          <cell r="E184">
            <v>9</v>
          </cell>
        </row>
        <row r="185">
          <cell r="F185">
            <v>87.3</v>
          </cell>
        </row>
        <row r="186">
          <cell r="B186">
            <v>1</v>
          </cell>
          <cell r="C186">
            <v>1</v>
          </cell>
          <cell r="D186">
            <v>2</v>
          </cell>
          <cell r="E186">
            <v>4.8499999999999996</v>
          </cell>
        </row>
        <row r="187">
          <cell r="E187">
            <v>10.130000000000001</v>
          </cell>
        </row>
        <row r="188">
          <cell r="F188">
            <v>98.26</v>
          </cell>
        </row>
        <row r="189">
          <cell r="B189">
            <v>1</v>
          </cell>
          <cell r="C189">
            <v>1</v>
          </cell>
          <cell r="D189">
            <v>2</v>
          </cell>
          <cell r="E189">
            <v>3.84</v>
          </cell>
        </row>
        <row r="190">
          <cell r="E190">
            <v>9</v>
          </cell>
        </row>
        <row r="191">
          <cell r="F191">
            <v>69.12</v>
          </cell>
        </row>
        <row r="192">
          <cell r="B192">
            <v>1</v>
          </cell>
          <cell r="C192">
            <v>1</v>
          </cell>
          <cell r="D192">
            <v>1</v>
          </cell>
          <cell r="E192">
            <v>3.84</v>
          </cell>
        </row>
        <row r="193">
          <cell r="E193">
            <v>4.51</v>
          </cell>
        </row>
        <row r="194">
          <cell r="F194">
            <v>17.32</v>
          </cell>
        </row>
        <row r="195">
          <cell r="F195">
            <v>272</v>
          </cell>
        </row>
        <row r="197">
          <cell r="B197">
            <v>1</v>
          </cell>
          <cell r="C197">
            <v>1</v>
          </cell>
          <cell r="D197">
            <v>1</v>
          </cell>
          <cell r="E197">
            <v>272</v>
          </cell>
          <cell r="F197">
            <v>272</v>
          </cell>
        </row>
        <row r="198">
          <cell r="A198" t="str">
            <v>C1.2a</v>
          </cell>
          <cell r="F198">
            <v>272</v>
          </cell>
        </row>
        <row r="200">
          <cell r="B200">
            <v>1</v>
          </cell>
          <cell r="C200">
            <v>1</v>
          </cell>
          <cell r="D200">
            <v>1</v>
          </cell>
          <cell r="E200">
            <v>272</v>
          </cell>
          <cell r="F200">
            <v>272</v>
          </cell>
        </row>
        <row r="201">
          <cell r="A201" t="str">
            <v>C1.2b</v>
          </cell>
          <cell r="F201">
            <v>272</v>
          </cell>
        </row>
        <row r="203">
          <cell r="B203">
            <v>1</v>
          </cell>
          <cell r="C203">
            <v>1</v>
          </cell>
          <cell r="D203">
            <v>1</v>
          </cell>
          <cell r="E203">
            <v>272</v>
          </cell>
          <cell r="F203">
            <v>272</v>
          </cell>
        </row>
        <row r="204">
          <cell r="A204" t="str">
            <v>C1.2c</v>
          </cell>
          <cell r="F204">
            <v>272</v>
          </cell>
        </row>
        <row r="206">
          <cell r="B206">
            <v>1</v>
          </cell>
          <cell r="C206">
            <v>1</v>
          </cell>
          <cell r="D206">
            <v>1</v>
          </cell>
          <cell r="E206">
            <v>272</v>
          </cell>
          <cell r="F206">
            <v>272</v>
          </cell>
        </row>
        <row r="207">
          <cell r="A207" t="str">
            <v>C1.2d</v>
          </cell>
          <cell r="F207">
            <v>272</v>
          </cell>
        </row>
        <row r="211">
          <cell r="B211">
            <v>1</v>
          </cell>
          <cell r="C211">
            <v>1</v>
          </cell>
          <cell r="D211">
            <v>4</v>
          </cell>
          <cell r="E211">
            <v>58</v>
          </cell>
        </row>
        <row r="212">
          <cell r="A212" t="str">
            <v>C1.2e</v>
          </cell>
          <cell r="F212">
            <v>232</v>
          </cell>
        </row>
        <row r="215">
          <cell r="B215">
            <v>1</v>
          </cell>
          <cell r="C215">
            <v>1</v>
          </cell>
          <cell r="D215">
            <v>4</v>
          </cell>
          <cell r="E215">
            <v>34</v>
          </cell>
        </row>
        <row r="216">
          <cell r="A216" t="str">
            <v>C1.2f</v>
          </cell>
          <cell r="F216">
            <v>136</v>
          </cell>
        </row>
        <row r="221">
          <cell r="B221">
            <v>1</v>
          </cell>
          <cell r="C221">
            <v>1</v>
          </cell>
          <cell r="D221">
            <v>18</v>
          </cell>
          <cell r="E221">
            <v>1.3</v>
          </cell>
        </row>
        <row r="222">
          <cell r="E222">
            <v>2.4</v>
          </cell>
        </row>
        <row r="223">
          <cell r="F223">
            <v>56.16</v>
          </cell>
        </row>
        <row r="224">
          <cell r="B224">
            <v>1</v>
          </cell>
          <cell r="C224">
            <v>1</v>
          </cell>
          <cell r="D224">
            <v>6</v>
          </cell>
          <cell r="E224">
            <v>1.4</v>
          </cell>
        </row>
        <row r="225">
          <cell r="E225">
            <v>2.4</v>
          </cell>
        </row>
        <row r="226">
          <cell r="F226">
            <v>20.16</v>
          </cell>
        </row>
        <row r="228">
          <cell r="B228">
            <v>1</v>
          </cell>
          <cell r="C228">
            <v>3</v>
          </cell>
          <cell r="D228">
            <v>24</v>
          </cell>
          <cell r="E228">
            <v>1.3</v>
          </cell>
        </row>
        <row r="229">
          <cell r="E229">
            <v>2.4</v>
          </cell>
        </row>
        <row r="230">
          <cell r="F230">
            <v>224.64</v>
          </cell>
        </row>
        <row r="232">
          <cell r="B232">
            <v>1</v>
          </cell>
          <cell r="C232">
            <v>1</v>
          </cell>
          <cell r="D232">
            <v>24</v>
          </cell>
          <cell r="E232">
            <v>1.3</v>
          </cell>
        </row>
        <row r="233">
          <cell r="E233">
            <v>2.58</v>
          </cell>
        </row>
        <row r="234">
          <cell r="F234">
            <v>80.5</v>
          </cell>
        </row>
        <row r="235">
          <cell r="A235" t="str">
            <v>C1.3a</v>
          </cell>
          <cell r="F235">
            <v>381.46</v>
          </cell>
        </row>
        <row r="240">
          <cell r="B240">
            <v>1</v>
          </cell>
          <cell r="C240">
            <v>4</v>
          </cell>
          <cell r="D240">
            <v>2</v>
          </cell>
          <cell r="E240">
            <v>9.4</v>
          </cell>
        </row>
        <row r="241">
          <cell r="E241">
            <v>0.48</v>
          </cell>
        </row>
        <row r="242">
          <cell r="F242">
            <v>36.1</v>
          </cell>
        </row>
        <row r="243">
          <cell r="B243">
            <v>1</v>
          </cell>
          <cell r="C243">
            <v>4</v>
          </cell>
          <cell r="D243">
            <v>2</v>
          </cell>
          <cell r="E243">
            <v>32.520000000000003</v>
          </cell>
        </row>
        <row r="244">
          <cell r="E244">
            <v>0.48</v>
          </cell>
        </row>
        <row r="245">
          <cell r="F245">
            <v>124.88</v>
          </cell>
        </row>
        <row r="246">
          <cell r="B246">
            <v>1</v>
          </cell>
          <cell r="C246">
            <v>4</v>
          </cell>
          <cell r="D246">
            <v>4</v>
          </cell>
          <cell r="E246">
            <v>1.33</v>
          </cell>
        </row>
        <row r="247">
          <cell r="E247">
            <v>0.48</v>
          </cell>
        </row>
        <row r="248">
          <cell r="F248">
            <v>10.210000000000001</v>
          </cell>
        </row>
        <row r="249">
          <cell r="B249">
            <v>1</v>
          </cell>
          <cell r="C249">
            <v>4</v>
          </cell>
          <cell r="D249">
            <v>1</v>
          </cell>
          <cell r="E249">
            <v>3.84</v>
          </cell>
        </row>
        <row r="250">
          <cell r="E250">
            <v>0.48</v>
          </cell>
        </row>
        <row r="251">
          <cell r="F251">
            <v>7.37</v>
          </cell>
        </row>
        <row r="252">
          <cell r="B252">
            <v>1</v>
          </cell>
          <cell r="C252">
            <v>4</v>
          </cell>
          <cell r="D252">
            <v>2</v>
          </cell>
          <cell r="E252">
            <v>4.0999999999999996</v>
          </cell>
        </row>
        <row r="253">
          <cell r="E253">
            <v>0.48</v>
          </cell>
        </row>
        <row r="254">
          <cell r="F254">
            <v>15.74</v>
          </cell>
        </row>
        <row r="256">
          <cell r="B256">
            <v>1</v>
          </cell>
          <cell r="C256">
            <v>4</v>
          </cell>
          <cell r="D256">
            <v>8</v>
          </cell>
          <cell r="E256">
            <v>9</v>
          </cell>
        </row>
        <row r="257">
          <cell r="E257">
            <v>0.2</v>
          </cell>
        </row>
        <row r="258">
          <cell r="F258">
            <v>57.6</v>
          </cell>
        </row>
        <row r="259">
          <cell r="B259">
            <v>1</v>
          </cell>
          <cell r="C259">
            <v>4</v>
          </cell>
          <cell r="D259">
            <v>4</v>
          </cell>
          <cell r="E259">
            <v>10.130000000000001</v>
          </cell>
        </row>
        <row r="260">
          <cell r="E260">
            <v>0.2</v>
          </cell>
        </row>
        <row r="261">
          <cell r="F261">
            <v>32.42</v>
          </cell>
        </row>
        <row r="262">
          <cell r="B262">
            <v>1</v>
          </cell>
          <cell r="C262">
            <v>4</v>
          </cell>
          <cell r="D262">
            <v>2</v>
          </cell>
          <cell r="E262">
            <v>4.5</v>
          </cell>
        </row>
        <row r="263">
          <cell r="E263">
            <v>0.2</v>
          </cell>
        </row>
        <row r="264">
          <cell r="F264">
            <v>7.2</v>
          </cell>
        </row>
        <row r="265">
          <cell r="B265">
            <v>1</v>
          </cell>
          <cell r="C265">
            <v>4</v>
          </cell>
          <cell r="D265">
            <v>1</v>
          </cell>
          <cell r="E265">
            <v>9.6999999999999993</v>
          </cell>
        </row>
        <row r="266">
          <cell r="E266">
            <v>0.2</v>
          </cell>
        </row>
        <row r="267">
          <cell r="F267">
            <v>7.76</v>
          </cell>
        </row>
        <row r="268">
          <cell r="B268">
            <v>1</v>
          </cell>
          <cell r="C268">
            <v>4</v>
          </cell>
          <cell r="D268">
            <v>1</v>
          </cell>
          <cell r="E268">
            <v>40.620000000000005</v>
          </cell>
        </row>
        <row r="269">
          <cell r="E269">
            <v>0.2</v>
          </cell>
        </row>
        <row r="270">
          <cell r="F270">
            <v>32.5</v>
          </cell>
        </row>
        <row r="271">
          <cell r="B271">
            <v>1</v>
          </cell>
          <cell r="C271">
            <v>4</v>
          </cell>
          <cell r="D271">
            <v>2</v>
          </cell>
          <cell r="E271">
            <v>3.84</v>
          </cell>
        </row>
        <row r="272">
          <cell r="E272">
            <v>0.2</v>
          </cell>
        </row>
        <row r="273">
          <cell r="F273">
            <v>6.14</v>
          </cell>
        </row>
        <row r="274">
          <cell r="B274">
            <v>1</v>
          </cell>
          <cell r="C274">
            <v>3</v>
          </cell>
          <cell r="D274">
            <v>1</v>
          </cell>
          <cell r="E274">
            <v>1.35</v>
          </cell>
        </row>
        <row r="275">
          <cell r="E275">
            <v>0.33</v>
          </cell>
        </row>
        <row r="276">
          <cell r="F276">
            <v>1.34</v>
          </cell>
        </row>
        <row r="277">
          <cell r="B277">
            <v>1</v>
          </cell>
          <cell r="C277">
            <v>4</v>
          </cell>
          <cell r="D277">
            <v>1</v>
          </cell>
          <cell r="E277">
            <v>1.35</v>
          </cell>
        </row>
        <row r="278">
          <cell r="E278">
            <v>0.35</v>
          </cell>
        </row>
        <row r="279">
          <cell r="F279">
            <v>1.89</v>
          </cell>
        </row>
        <row r="280">
          <cell r="B280">
            <v>1</v>
          </cell>
          <cell r="C280">
            <v>4</v>
          </cell>
          <cell r="D280">
            <v>1</v>
          </cell>
          <cell r="E280">
            <v>1.1399999999999999</v>
          </cell>
        </row>
        <row r="281">
          <cell r="E281">
            <v>0.33</v>
          </cell>
        </row>
        <row r="282">
          <cell r="F282">
            <v>1.5</v>
          </cell>
        </row>
        <row r="283">
          <cell r="B283">
            <v>1</v>
          </cell>
          <cell r="C283">
            <v>4</v>
          </cell>
          <cell r="D283">
            <v>1</v>
          </cell>
          <cell r="E283">
            <v>30.92</v>
          </cell>
        </row>
        <row r="284">
          <cell r="E284">
            <v>0.2</v>
          </cell>
        </row>
        <row r="285">
          <cell r="F285">
            <v>24.74</v>
          </cell>
        </row>
        <row r="286">
          <cell r="B286">
            <v>1</v>
          </cell>
          <cell r="C286">
            <v>4</v>
          </cell>
          <cell r="D286">
            <v>2</v>
          </cell>
          <cell r="E286">
            <v>1.35</v>
          </cell>
        </row>
        <row r="287">
          <cell r="E287">
            <v>0.25</v>
          </cell>
        </row>
        <row r="288">
          <cell r="F288">
            <v>2.7</v>
          </cell>
        </row>
        <row r="289">
          <cell r="B289">
            <v>1</v>
          </cell>
          <cell r="C289">
            <v>3</v>
          </cell>
          <cell r="D289">
            <v>1</v>
          </cell>
          <cell r="E289">
            <v>1.35</v>
          </cell>
        </row>
        <row r="290">
          <cell r="E290">
            <v>0.23300000000000001</v>
          </cell>
        </row>
        <row r="291">
          <cell r="F291">
            <v>0.94</v>
          </cell>
        </row>
        <row r="292">
          <cell r="B292">
            <v>1</v>
          </cell>
          <cell r="C292">
            <v>4</v>
          </cell>
          <cell r="D292">
            <v>2</v>
          </cell>
          <cell r="E292">
            <v>1.1399999999999999</v>
          </cell>
        </row>
        <row r="293">
          <cell r="E293">
            <v>0.25</v>
          </cell>
        </row>
        <row r="294">
          <cell r="F294">
            <v>2.2799999999999998</v>
          </cell>
        </row>
        <row r="296">
          <cell r="B296">
            <v>1</v>
          </cell>
          <cell r="C296">
            <v>4</v>
          </cell>
          <cell r="D296">
            <v>4</v>
          </cell>
          <cell r="E296">
            <v>8.1999999999999993</v>
          </cell>
        </row>
        <row r="297">
          <cell r="E297">
            <v>0.2</v>
          </cell>
        </row>
        <row r="298">
          <cell r="F298">
            <v>26.24</v>
          </cell>
        </row>
        <row r="299">
          <cell r="B299">
            <v>1</v>
          </cell>
          <cell r="C299">
            <v>4</v>
          </cell>
          <cell r="D299">
            <v>4</v>
          </cell>
          <cell r="E299">
            <v>9.5300000000000011</v>
          </cell>
        </row>
        <row r="300">
          <cell r="E300">
            <v>0.2</v>
          </cell>
        </row>
        <row r="301">
          <cell r="F301">
            <v>30.5</v>
          </cell>
        </row>
        <row r="302">
          <cell r="B302">
            <v>1</v>
          </cell>
          <cell r="C302">
            <v>4</v>
          </cell>
          <cell r="D302">
            <v>1</v>
          </cell>
          <cell r="E302">
            <v>9.6999999999999993</v>
          </cell>
        </row>
        <row r="303">
          <cell r="E303">
            <v>0.2</v>
          </cell>
        </row>
        <row r="304">
          <cell r="F304">
            <v>7.76</v>
          </cell>
        </row>
        <row r="305">
          <cell r="B305">
            <v>1</v>
          </cell>
          <cell r="C305">
            <v>4</v>
          </cell>
          <cell r="D305">
            <v>2</v>
          </cell>
          <cell r="E305">
            <v>30.520000000000003</v>
          </cell>
        </row>
        <row r="306">
          <cell r="E306">
            <v>0.2</v>
          </cell>
        </row>
        <row r="307">
          <cell r="F307">
            <v>48.83</v>
          </cell>
        </row>
        <row r="308">
          <cell r="B308">
            <v>1</v>
          </cell>
          <cell r="C308">
            <v>4</v>
          </cell>
          <cell r="D308">
            <v>2</v>
          </cell>
          <cell r="E308">
            <v>3.84</v>
          </cell>
        </row>
        <row r="309">
          <cell r="E309">
            <v>0.2</v>
          </cell>
        </row>
        <row r="310">
          <cell r="F310">
            <v>6.14</v>
          </cell>
        </row>
        <row r="311">
          <cell r="B311">
            <v>1</v>
          </cell>
          <cell r="C311">
            <v>4</v>
          </cell>
          <cell r="D311">
            <v>1</v>
          </cell>
          <cell r="E311">
            <v>3.84</v>
          </cell>
        </row>
        <row r="312">
          <cell r="E312">
            <v>0.2</v>
          </cell>
        </row>
        <row r="313">
          <cell r="F313">
            <v>3.07</v>
          </cell>
        </row>
        <row r="316">
          <cell r="B316">
            <v>1</v>
          </cell>
          <cell r="C316">
            <v>1</v>
          </cell>
          <cell r="D316">
            <v>1</v>
          </cell>
          <cell r="E316">
            <v>89.16</v>
          </cell>
        </row>
        <row r="317">
          <cell r="E317">
            <v>0.3</v>
          </cell>
        </row>
        <row r="318">
          <cell r="F318">
            <v>26.75</v>
          </cell>
        </row>
        <row r="320">
          <cell r="B320">
            <v>1</v>
          </cell>
          <cell r="C320">
            <v>1</v>
          </cell>
          <cell r="D320">
            <v>2</v>
          </cell>
          <cell r="E320">
            <v>27.7</v>
          </cell>
        </row>
        <row r="321">
          <cell r="E321">
            <v>0.3</v>
          </cell>
        </row>
        <row r="322">
          <cell r="F322">
            <v>16.62</v>
          </cell>
        </row>
        <row r="323">
          <cell r="B323">
            <v>1</v>
          </cell>
          <cell r="C323">
            <v>1</v>
          </cell>
          <cell r="D323">
            <v>2</v>
          </cell>
          <cell r="E323">
            <v>58.559999999999995</v>
          </cell>
        </row>
        <row r="324">
          <cell r="E324">
            <v>0.3</v>
          </cell>
        </row>
        <row r="325">
          <cell r="F325">
            <v>35.14</v>
          </cell>
        </row>
        <row r="326">
          <cell r="B326">
            <v>1</v>
          </cell>
          <cell r="C326">
            <v>1</v>
          </cell>
          <cell r="D326">
            <v>2</v>
          </cell>
          <cell r="E326">
            <v>32.96</v>
          </cell>
        </row>
        <row r="327">
          <cell r="E327">
            <v>0.3</v>
          </cell>
        </row>
        <row r="328">
          <cell r="F328">
            <v>19.78</v>
          </cell>
        </row>
        <row r="330">
          <cell r="B330">
            <v>1</v>
          </cell>
          <cell r="C330">
            <v>1</v>
          </cell>
          <cell r="D330">
            <v>4</v>
          </cell>
          <cell r="E330">
            <v>8.1999999999999993</v>
          </cell>
        </row>
        <row r="331">
          <cell r="E331">
            <v>0.2</v>
          </cell>
        </row>
        <row r="332">
          <cell r="F332">
            <v>6.56</v>
          </cell>
        </row>
        <row r="333">
          <cell r="B333">
            <v>1</v>
          </cell>
          <cell r="C333">
            <v>1</v>
          </cell>
          <cell r="D333">
            <v>4</v>
          </cell>
          <cell r="E333">
            <v>9.5300000000000011</v>
          </cell>
        </row>
        <row r="334">
          <cell r="E334">
            <v>0.2</v>
          </cell>
        </row>
        <row r="335">
          <cell r="F335">
            <v>7.62</v>
          </cell>
        </row>
        <row r="336">
          <cell r="B336">
            <v>1</v>
          </cell>
          <cell r="C336">
            <v>1</v>
          </cell>
          <cell r="D336">
            <v>2</v>
          </cell>
          <cell r="E336">
            <v>5</v>
          </cell>
        </row>
        <row r="337">
          <cell r="E337">
            <v>0.2</v>
          </cell>
        </row>
        <row r="338">
          <cell r="F338">
            <v>2</v>
          </cell>
        </row>
        <row r="339">
          <cell r="B339">
            <v>1</v>
          </cell>
          <cell r="C339">
            <v>1</v>
          </cell>
          <cell r="D339">
            <v>1</v>
          </cell>
          <cell r="E339">
            <v>9.6999999999999993</v>
          </cell>
        </row>
        <row r="340">
          <cell r="E340">
            <v>0.2</v>
          </cell>
        </row>
        <row r="341">
          <cell r="F341">
            <v>1.94</v>
          </cell>
        </row>
        <row r="342">
          <cell r="B342">
            <v>1</v>
          </cell>
          <cell r="C342">
            <v>1</v>
          </cell>
          <cell r="D342">
            <v>1</v>
          </cell>
          <cell r="E342">
            <v>20.92</v>
          </cell>
        </row>
        <row r="343">
          <cell r="E343">
            <v>0.2</v>
          </cell>
        </row>
        <row r="344">
          <cell r="F344">
            <v>4.18</v>
          </cell>
        </row>
        <row r="345">
          <cell r="B345">
            <v>1</v>
          </cell>
          <cell r="C345">
            <v>1</v>
          </cell>
          <cell r="D345">
            <v>1</v>
          </cell>
          <cell r="E345">
            <v>3.84</v>
          </cell>
        </row>
        <row r="346">
          <cell r="E346">
            <v>0.2</v>
          </cell>
        </row>
        <row r="348">
          <cell r="B348">
            <v>1</v>
          </cell>
          <cell r="C348">
            <v>1</v>
          </cell>
          <cell r="D348">
            <v>1</v>
          </cell>
          <cell r="E348">
            <v>9.6</v>
          </cell>
        </row>
        <row r="349">
          <cell r="E349">
            <v>0.2</v>
          </cell>
        </row>
        <row r="350">
          <cell r="F350">
            <v>1.92</v>
          </cell>
        </row>
        <row r="351">
          <cell r="B351">
            <v>1</v>
          </cell>
          <cell r="C351">
            <v>1</v>
          </cell>
          <cell r="D351">
            <v>1</v>
          </cell>
          <cell r="E351">
            <v>17.38</v>
          </cell>
        </row>
        <row r="352">
          <cell r="E352">
            <v>0.2</v>
          </cell>
        </row>
        <row r="353">
          <cell r="F353">
            <v>3.48</v>
          </cell>
        </row>
        <row r="354">
          <cell r="B354">
            <v>1</v>
          </cell>
          <cell r="C354">
            <v>1</v>
          </cell>
          <cell r="D354">
            <v>1</v>
          </cell>
          <cell r="E354">
            <v>30.520000000000003</v>
          </cell>
        </row>
        <row r="355">
          <cell r="E355">
            <v>0.2</v>
          </cell>
        </row>
        <row r="356">
          <cell r="F356">
            <v>6.1</v>
          </cell>
        </row>
        <row r="357">
          <cell r="A357" t="str">
            <v>C1.3b</v>
          </cell>
          <cell r="F357">
            <v>627.93999999999983</v>
          </cell>
        </row>
        <row r="360">
          <cell r="B360">
            <v>1</v>
          </cell>
          <cell r="C360">
            <v>1</v>
          </cell>
          <cell r="D360">
            <v>1</v>
          </cell>
          <cell r="E360">
            <v>1.35</v>
          </cell>
        </row>
        <row r="361">
          <cell r="E361">
            <v>2.7</v>
          </cell>
        </row>
        <row r="362">
          <cell r="F362">
            <v>3.65</v>
          </cell>
        </row>
        <row r="363">
          <cell r="B363">
            <v>1</v>
          </cell>
          <cell r="C363">
            <v>1</v>
          </cell>
          <cell r="D363">
            <v>4</v>
          </cell>
          <cell r="E363">
            <v>1.35</v>
          </cell>
        </row>
        <row r="364">
          <cell r="E364">
            <v>3.1</v>
          </cell>
        </row>
        <row r="365">
          <cell r="F365">
            <v>16.739999999999998</v>
          </cell>
        </row>
        <row r="366">
          <cell r="B366">
            <v>1</v>
          </cell>
          <cell r="C366">
            <v>1</v>
          </cell>
          <cell r="D366">
            <v>3</v>
          </cell>
          <cell r="E366">
            <v>1.35</v>
          </cell>
        </row>
        <row r="367">
          <cell r="E367">
            <v>3.0230000000000001</v>
          </cell>
        </row>
        <row r="368">
          <cell r="F368">
            <v>12.24</v>
          </cell>
        </row>
        <row r="369">
          <cell r="B369">
            <v>1</v>
          </cell>
          <cell r="C369">
            <v>1</v>
          </cell>
          <cell r="D369">
            <v>4</v>
          </cell>
          <cell r="E369">
            <v>0.81499999999999995</v>
          </cell>
        </row>
        <row r="370">
          <cell r="E370">
            <v>3.84</v>
          </cell>
        </row>
        <row r="371">
          <cell r="F371">
            <v>12.52</v>
          </cell>
        </row>
        <row r="372">
          <cell r="B372">
            <v>1</v>
          </cell>
          <cell r="C372">
            <v>1</v>
          </cell>
          <cell r="D372">
            <v>4</v>
          </cell>
          <cell r="E372">
            <v>0.34200000000000003</v>
          </cell>
        </row>
        <row r="373">
          <cell r="E373">
            <v>2.4900000000000002</v>
          </cell>
        </row>
        <row r="374">
          <cell r="F374">
            <v>3.41</v>
          </cell>
        </row>
        <row r="375">
          <cell r="B375">
            <v>1</v>
          </cell>
          <cell r="C375">
            <v>1</v>
          </cell>
          <cell r="D375">
            <v>3</v>
          </cell>
          <cell r="E375">
            <v>0.41199999999999998</v>
          </cell>
        </row>
        <row r="376">
          <cell r="E376">
            <v>2.4900000000000002</v>
          </cell>
        </row>
        <row r="377">
          <cell r="F377">
            <v>3.08</v>
          </cell>
        </row>
        <row r="379">
          <cell r="B379">
            <v>1</v>
          </cell>
          <cell r="C379">
            <v>1</v>
          </cell>
          <cell r="D379">
            <v>2</v>
          </cell>
          <cell r="E379">
            <v>2.88</v>
          </cell>
        </row>
        <row r="380">
          <cell r="E380">
            <v>0.15</v>
          </cell>
        </row>
        <row r="381">
          <cell r="F381">
            <v>0.86</v>
          </cell>
        </row>
        <row r="382">
          <cell r="B382">
            <v>1</v>
          </cell>
          <cell r="C382">
            <v>9</v>
          </cell>
          <cell r="D382">
            <v>2</v>
          </cell>
          <cell r="E382">
            <v>0.3</v>
          </cell>
        </row>
        <row r="383">
          <cell r="E383">
            <v>0.16</v>
          </cell>
        </row>
        <row r="384">
          <cell r="E384">
            <v>0.5</v>
          </cell>
        </row>
        <row r="385">
          <cell r="F385">
            <v>0.43</v>
          </cell>
        </row>
        <row r="386">
          <cell r="B386">
            <v>1</v>
          </cell>
          <cell r="C386">
            <v>4</v>
          </cell>
          <cell r="D386">
            <v>2</v>
          </cell>
          <cell r="E386">
            <v>3.1139999999999999</v>
          </cell>
        </row>
        <row r="387">
          <cell r="E387">
            <v>0.15</v>
          </cell>
        </row>
        <row r="388">
          <cell r="F388">
            <v>3.74</v>
          </cell>
        </row>
        <row r="389">
          <cell r="B389">
            <v>4</v>
          </cell>
          <cell r="C389">
            <v>9</v>
          </cell>
          <cell r="D389">
            <v>2</v>
          </cell>
          <cell r="E389">
            <v>0.3</v>
          </cell>
        </row>
        <row r="390">
          <cell r="E390">
            <v>0.16</v>
          </cell>
        </row>
        <row r="391">
          <cell r="E391">
            <v>0.5</v>
          </cell>
        </row>
        <row r="392">
          <cell r="F392">
            <v>1.73</v>
          </cell>
        </row>
        <row r="393">
          <cell r="B393">
            <v>1</v>
          </cell>
          <cell r="C393">
            <v>3</v>
          </cell>
          <cell r="D393">
            <v>2</v>
          </cell>
          <cell r="E393">
            <v>3.044</v>
          </cell>
        </row>
        <row r="394">
          <cell r="E394">
            <v>0.15</v>
          </cell>
        </row>
        <row r="395">
          <cell r="F395">
            <v>2.74</v>
          </cell>
        </row>
        <row r="396">
          <cell r="B396">
            <v>3</v>
          </cell>
          <cell r="C396">
            <v>9</v>
          </cell>
          <cell r="D396">
            <v>2</v>
          </cell>
          <cell r="E396">
            <v>0.3</v>
          </cell>
        </row>
        <row r="397">
          <cell r="E397">
            <v>0.16</v>
          </cell>
        </row>
        <row r="398">
          <cell r="E398">
            <v>0.5</v>
          </cell>
        </row>
        <row r="399">
          <cell r="F399">
            <v>1.3</v>
          </cell>
        </row>
        <row r="400">
          <cell r="B400">
            <v>1</v>
          </cell>
          <cell r="C400">
            <v>2</v>
          </cell>
          <cell r="D400">
            <v>4</v>
          </cell>
          <cell r="E400">
            <v>0.81499999999999995</v>
          </cell>
        </row>
        <row r="401">
          <cell r="E401">
            <v>0.15</v>
          </cell>
        </row>
        <row r="402">
          <cell r="F402">
            <v>0.98</v>
          </cell>
        </row>
        <row r="403">
          <cell r="B403">
            <v>1</v>
          </cell>
          <cell r="C403">
            <v>1</v>
          </cell>
          <cell r="D403">
            <v>4</v>
          </cell>
          <cell r="E403">
            <v>3.84</v>
          </cell>
        </row>
        <row r="404">
          <cell r="E404">
            <v>0.15</v>
          </cell>
        </row>
        <row r="405">
          <cell r="F405">
            <v>2.2999999999999998</v>
          </cell>
        </row>
        <row r="406">
          <cell r="B406">
            <v>1</v>
          </cell>
          <cell r="C406">
            <v>2</v>
          </cell>
          <cell r="D406">
            <v>4</v>
          </cell>
          <cell r="E406">
            <v>0.32</v>
          </cell>
        </row>
        <row r="407">
          <cell r="E407">
            <v>0.15</v>
          </cell>
        </row>
        <row r="408">
          <cell r="F408">
            <v>0.38</v>
          </cell>
        </row>
        <row r="409">
          <cell r="B409">
            <v>1</v>
          </cell>
          <cell r="C409">
            <v>2</v>
          </cell>
          <cell r="D409">
            <v>3</v>
          </cell>
          <cell r="E409">
            <v>0.39400000000000002</v>
          </cell>
        </row>
        <row r="410">
          <cell r="E410">
            <v>0.15</v>
          </cell>
        </row>
        <row r="411">
          <cell r="F411">
            <v>0.35</v>
          </cell>
        </row>
        <row r="412">
          <cell r="B412">
            <v>1</v>
          </cell>
          <cell r="C412">
            <v>2</v>
          </cell>
          <cell r="D412">
            <v>4</v>
          </cell>
          <cell r="E412">
            <v>1.1399999999999999</v>
          </cell>
        </row>
        <row r="413">
          <cell r="E413">
            <v>0.15</v>
          </cell>
        </row>
        <row r="414">
          <cell r="F414">
            <v>1.37</v>
          </cell>
        </row>
        <row r="415">
          <cell r="B415">
            <v>1</v>
          </cell>
          <cell r="C415">
            <v>1</v>
          </cell>
          <cell r="D415">
            <v>72</v>
          </cell>
          <cell r="E415">
            <v>1.35</v>
          </cell>
        </row>
        <row r="416">
          <cell r="E416">
            <v>0.16</v>
          </cell>
        </row>
        <row r="417">
          <cell r="F417">
            <v>15.55</v>
          </cell>
        </row>
        <row r="418">
          <cell r="A418" t="str">
            <v>C1.3c</v>
          </cell>
          <cell r="F418">
            <v>83.369999999999976</v>
          </cell>
        </row>
        <row r="423">
          <cell r="B423">
            <v>1</v>
          </cell>
          <cell r="C423">
            <v>4</v>
          </cell>
          <cell r="D423">
            <v>26</v>
          </cell>
          <cell r="E423">
            <v>0.51</v>
          </cell>
        </row>
        <row r="424">
          <cell r="E424">
            <v>0.2</v>
          </cell>
        </row>
        <row r="425">
          <cell r="F425">
            <v>10.61</v>
          </cell>
        </row>
        <row r="426">
          <cell r="B426">
            <v>1</v>
          </cell>
          <cell r="C426">
            <v>4</v>
          </cell>
          <cell r="D426">
            <v>14</v>
          </cell>
          <cell r="E426">
            <v>0.25</v>
          </cell>
        </row>
        <row r="427">
          <cell r="E427">
            <v>0.2</v>
          </cell>
        </row>
        <row r="428">
          <cell r="F428">
            <v>2.8</v>
          </cell>
        </row>
        <row r="429">
          <cell r="A429" t="str">
            <v>C1.3d</v>
          </cell>
          <cell r="F429">
            <v>13.41</v>
          </cell>
        </row>
        <row r="434">
          <cell r="A434" t="str">
            <v>C1.4a</v>
          </cell>
          <cell r="F434">
            <v>1325.11</v>
          </cell>
        </row>
        <row r="436">
          <cell r="A436" t="str">
            <v>C1.4b</v>
          </cell>
          <cell r="F436">
            <v>3244.83</v>
          </cell>
        </row>
        <row r="438">
          <cell r="A438" t="str">
            <v>C1.4c</v>
          </cell>
          <cell r="F438">
            <v>519.42999999999995</v>
          </cell>
        </row>
        <row r="440">
          <cell r="A440" t="str">
            <v>C1.4d</v>
          </cell>
          <cell r="F440">
            <v>1694.33</v>
          </cell>
        </row>
        <row r="442">
          <cell r="A442" t="str">
            <v>C1.4e</v>
          </cell>
          <cell r="F442">
            <v>6464.09</v>
          </cell>
        </row>
        <row r="444">
          <cell r="A444" t="str">
            <v>C1.4f</v>
          </cell>
          <cell r="F444">
            <v>6320.54</v>
          </cell>
        </row>
        <row r="446">
          <cell r="A446" t="str">
            <v>C1.4g</v>
          </cell>
          <cell r="F446">
            <v>1690.27</v>
          </cell>
        </row>
      </sheetData>
      <sheetData sheetId="2"/>
      <sheetData sheetId="3">
        <row r="46">
          <cell r="M46">
            <v>197069.65000000002</v>
          </cell>
        </row>
      </sheetData>
      <sheetData sheetId="4"/>
      <sheetData sheetId="5"/>
      <sheetData sheetId="6"/>
      <sheetData sheetId="7"/>
      <sheetData sheetId="8">
        <row r="1">
          <cell r="B1" t="str">
            <v>Project: Low Cost Housing Development Project</v>
          </cell>
        </row>
      </sheetData>
      <sheetData sheetId="9"/>
      <sheetData sheetId="10">
        <row r="1">
          <cell r="B1" t="str">
            <v>Project: Low Cost Housing Development Project</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 val="Block Summary"/>
      <sheetName val="Summary"/>
      <sheetName val="Sub Structure BC = 200"/>
      <sheetName val="Ar &amp; St"/>
      <sheetName val="E-1 200kp Res. Sub St."/>
      <sheetName val="E1 Excavation data"/>
      <sheetName val="Eshetu Y. E1trench&amp;masonary "/>
      <sheetName val="RB E-1 200kp Res. Sub St."/>
      <sheetName val="E-1 200kp  Sup St."/>
      <sheetName val="RB E-1 200kp Res. Super St."/>
    </sheetNames>
    <sheetDataSet>
      <sheetData sheetId="0" refreshError="1">
        <row r="1">
          <cell r="B1" t="str">
            <v>Project: Low Cost Housing Development Project</v>
          </cell>
        </row>
        <row r="2">
          <cell r="B2" t="str">
            <v>Location: Jemmo II</v>
          </cell>
        </row>
        <row r="3">
          <cell r="B3" t="str">
            <v>Client: Nifasilk Lafto Sub-City</v>
          </cell>
        </row>
        <row r="4">
          <cell r="B4" t="str">
            <v>Contractor: ESHETU YIRDAW B.C</v>
          </cell>
        </row>
        <row r="5">
          <cell r="B5" t="str">
            <v>Consultant: MGM Consult PLC</v>
          </cell>
        </row>
        <row r="6">
          <cell r="A6" t="str">
            <v>Code</v>
          </cell>
          <cell r="B6" t="str">
            <v>Timizing</v>
          </cell>
          <cell r="E6" t="str">
            <v>Dimension</v>
          </cell>
          <cell r="F6" t="str">
            <v>Qty</v>
          </cell>
        </row>
        <row r="11">
          <cell r="B11">
            <v>1</v>
          </cell>
          <cell r="C11">
            <v>4</v>
          </cell>
          <cell r="D11">
            <v>2</v>
          </cell>
          <cell r="E11">
            <v>8.1999999999999993</v>
          </cell>
        </row>
        <row r="12">
          <cell r="E12">
            <v>2.4</v>
          </cell>
        </row>
        <row r="13">
          <cell r="F13">
            <v>157.44</v>
          </cell>
        </row>
        <row r="14">
          <cell r="B14">
            <v>1</v>
          </cell>
          <cell r="C14">
            <v>4</v>
          </cell>
          <cell r="D14">
            <v>1</v>
          </cell>
          <cell r="E14">
            <v>3.83</v>
          </cell>
        </row>
        <row r="15">
          <cell r="E15">
            <v>2.4</v>
          </cell>
        </row>
        <row r="16">
          <cell r="F16">
            <v>36.770000000000003</v>
          </cell>
        </row>
        <row r="17">
          <cell r="B17">
            <v>1</v>
          </cell>
          <cell r="C17">
            <v>4</v>
          </cell>
          <cell r="D17">
            <v>1</v>
          </cell>
          <cell r="E17">
            <v>4.0999999999999996</v>
          </cell>
        </row>
        <row r="18">
          <cell r="E18">
            <v>2.4</v>
          </cell>
        </row>
        <row r="19">
          <cell r="F19">
            <v>39.36</v>
          </cell>
        </row>
        <row r="20">
          <cell r="B20">
            <v>1</v>
          </cell>
          <cell r="C20">
            <v>4</v>
          </cell>
          <cell r="D20">
            <v>2</v>
          </cell>
          <cell r="E20">
            <v>0.33</v>
          </cell>
        </row>
        <row r="21">
          <cell r="E21">
            <v>2.6</v>
          </cell>
        </row>
        <row r="22">
          <cell r="F22">
            <v>6.86</v>
          </cell>
        </row>
        <row r="23">
          <cell r="B23">
            <v>1</v>
          </cell>
          <cell r="C23">
            <v>4</v>
          </cell>
          <cell r="D23">
            <v>2</v>
          </cell>
          <cell r="E23">
            <v>8.14</v>
          </cell>
        </row>
        <row r="24">
          <cell r="E24">
            <v>2.4</v>
          </cell>
        </row>
        <row r="25">
          <cell r="F25">
            <v>156.29</v>
          </cell>
        </row>
        <row r="26">
          <cell r="B26">
            <v>1</v>
          </cell>
          <cell r="C26">
            <v>4</v>
          </cell>
          <cell r="D26">
            <v>2</v>
          </cell>
          <cell r="E26">
            <v>4.4099999999999993</v>
          </cell>
        </row>
        <row r="27">
          <cell r="E27">
            <v>2.4</v>
          </cell>
        </row>
        <row r="28">
          <cell r="F28">
            <v>84.67</v>
          </cell>
        </row>
        <row r="29">
          <cell r="B29">
            <v>1</v>
          </cell>
          <cell r="C29">
            <v>4</v>
          </cell>
          <cell r="D29">
            <v>1</v>
          </cell>
          <cell r="E29">
            <v>2.75</v>
          </cell>
        </row>
        <row r="30">
          <cell r="E30">
            <v>2.6</v>
          </cell>
        </row>
        <row r="31">
          <cell r="F31">
            <v>28.6</v>
          </cell>
        </row>
        <row r="32">
          <cell r="B32">
            <v>1</v>
          </cell>
          <cell r="C32">
            <v>4</v>
          </cell>
          <cell r="D32">
            <v>1</v>
          </cell>
          <cell r="E32">
            <v>3.5</v>
          </cell>
        </row>
        <row r="33">
          <cell r="E33">
            <v>2.6</v>
          </cell>
        </row>
        <row r="34">
          <cell r="F34">
            <v>36.4</v>
          </cell>
        </row>
        <row r="35">
          <cell r="B35">
            <v>1</v>
          </cell>
          <cell r="C35">
            <v>4</v>
          </cell>
          <cell r="D35">
            <v>1</v>
          </cell>
          <cell r="E35">
            <v>7</v>
          </cell>
        </row>
        <row r="36">
          <cell r="E36">
            <v>2.4</v>
          </cell>
        </row>
        <row r="37">
          <cell r="F37">
            <v>67.2</v>
          </cell>
        </row>
        <row r="38">
          <cell r="B38">
            <v>1</v>
          </cell>
          <cell r="C38">
            <v>4</v>
          </cell>
          <cell r="D38">
            <v>1</v>
          </cell>
          <cell r="E38">
            <v>23.980000000000004</v>
          </cell>
        </row>
        <row r="39">
          <cell r="E39">
            <v>2.4</v>
          </cell>
        </row>
        <row r="40">
          <cell r="F40">
            <v>230.21</v>
          </cell>
        </row>
        <row r="41">
          <cell r="B41">
            <v>1</v>
          </cell>
          <cell r="C41">
            <v>4</v>
          </cell>
          <cell r="D41">
            <v>1</v>
          </cell>
          <cell r="E41">
            <v>3.84</v>
          </cell>
        </row>
        <row r="42">
          <cell r="E42">
            <v>2.4</v>
          </cell>
        </row>
        <row r="43">
          <cell r="F43">
            <v>36.86</v>
          </cell>
        </row>
        <row r="44">
          <cell r="B44">
            <v>1</v>
          </cell>
          <cell r="C44">
            <v>4</v>
          </cell>
          <cell r="D44">
            <v>1</v>
          </cell>
          <cell r="E44">
            <v>1.95</v>
          </cell>
        </row>
        <row r="45">
          <cell r="E45">
            <v>2.6</v>
          </cell>
        </row>
        <row r="46">
          <cell r="F46">
            <v>20.28</v>
          </cell>
        </row>
        <row r="47">
          <cell r="B47">
            <v>1</v>
          </cell>
          <cell r="C47">
            <v>4</v>
          </cell>
          <cell r="D47">
            <v>1</v>
          </cell>
          <cell r="E47">
            <v>4.78</v>
          </cell>
        </row>
        <row r="48">
          <cell r="E48">
            <v>2.6</v>
          </cell>
        </row>
        <row r="49">
          <cell r="F49">
            <v>49.71</v>
          </cell>
        </row>
        <row r="50">
          <cell r="B50">
            <v>1</v>
          </cell>
          <cell r="C50">
            <v>4</v>
          </cell>
          <cell r="D50">
            <v>1</v>
          </cell>
          <cell r="E50">
            <v>14.18</v>
          </cell>
        </row>
        <row r="51">
          <cell r="E51">
            <v>2.6</v>
          </cell>
        </row>
        <row r="52">
          <cell r="F52">
            <v>147.47</v>
          </cell>
        </row>
        <row r="53">
          <cell r="B53">
            <v>1</v>
          </cell>
          <cell r="C53">
            <v>4</v>
          </cell>
          <cell r="D53">
            <v>1</v>
          </cell>
          <cell r="E53">
            <v>9.56</v>
          </cell>
        </row>
        <row r="54">
          <cell r="E54">
            <v>2.4</v>
          </cell>
        </row>
        <row r="55">
          <cell r="F55">
            <v>91.78</v>
          </cell>
        </row>
        <row r="56">
          <cell r="B56">
            <v>1</v>
          </cell>
          <cell r="C56">
            <v>4</v>
          </cell>
          <cell r="D56">
            <v>1</v>
          </cell>
          <cell r="E56">
            <v>26.33</v>
          </cell>
        </row>
        <row r="57">
          <cell r="E57">
            <v>0.9</v>
          </cell>
        </row>
        <row r="58">
          <cell r="F58">
            <v>94.79</v>
          </cell>
        </row>
        <row r="60">
          <cell r="B60">
            <v>-1</v>
          </cell>
          <cell r="C60">
            <v>4</v>
          </cell>
          <cell r="D60">
            <v>6</v>
          </cell>
          <cell r="E60">
            <v>0.6</v>
          </cell>
        </row>
        <row r="61">
          <cell r="E61">
            <v>0.6</v>
          </cell>
        </row>
        <row r="62">
          <cell r="F62">
            <v>-8.64</v>
          </cell>
        </row>
        <row r="63">
          <cell r="B63">
            <v>-1</v>
          </cell>
          <cell r="C63">
            <v>4</v>
          </cell>
          <cell r="D63">
            <v>5</v>
          </cell>
          <cell r="E63">
            <v>1</v>
          </cell>
        </row>
        <row r="64">
          <cell r="E64">
            <v>1.5</v>
          </cell>
        </row>
        <row r="65">
          <cell r="F65">
            <v>-30</v>
          </cell>
        </row>
        <row r="66">
          <cell r="B66">
            <v>-1</v>
          </cell>
          <cell r="C66">
            <v>4</v>
          </cell>
          <cell r="D66">
            <v>9</v>
          </cell>
          <cell r="E66">
            <v>1.2</v>
          </cell>
        </row>
        <row r="67">
          <cell r="E67">
            <v>1.5</v>
          </cell>
        </row>
        <row r="68">
          <cell r="F68">
            <v>-64.8</v>
          </cell>
        </row>
        <row r="69">
          <cell r="B69">
            <v>-1</v>
          </cell>
          <cell r="C69">
            <v>4</v>
          </cell>
          <cell r="D69">
            <v>6</v>
          </cell>
          <cell r="E69">
            <v>1.5</v>
          </cell>
        </row>
        <row r="70">
          <cell r="E70">
            <v>1.5</v>
          </cell>
        </row>
        <row r="71">
          <cell r="F71">
            <v>-54</v>
          </cell>
        </row>
        <row r="73">
          <cell r="B73">
            <v>1</v>
          </cell>
          <cell r="C73">
            <v>1</v>
          </cell>
          <cell r="D73">
            <v>2</v>
          </cell>
          <cell r="E73">
            <v>8.1999999999999993</v>
          </cell>
        </row>
        <row r="74">
          <cell r="E74">
            <v>2.58</v>
          </cell>
        </row>
        <row r="75">
          <cell r="F75">
            <v>42.31</v>
          </cell>
        </row>
        <row r="76">
          <cell r="B76">
            <v>1</v>
          </cell>
          <cell r="C76">
            <v>1</v>
          </cell>
          <cell r="D76">
            <v>1</v>
          </cell>
          <cell r="E76">
            <v>3.83</v>
          </cell>
        </row>
        <row r="77">
          <cell r="E77">
            <v>2.58</v>
          </cell>
        </row>
        <row r="78">
          <cell r="F78">
            <v>9.8800000000000008</v>
          </cell>
        </row>
        <row r="79">
          <cell r="B79">
            <v>1</v>
          </cell>
          <cell r="C79">
            <v>1</v>
          </cell>
          <cell r="D79">
            <v>1</v>
          </cell>
          <cell r="E79">
            <v>4.0999999999999996</v>
          </cell>
        </row>
        <row r="80">
          <cell r="E80">
            <v>2.58</v>
          </cell>
        </row>
        <row r="81">
          <cell r="F81">
            <v>10.58</v>
          </cell>
        </row>
        <row r="82">
          <cell r="B82">
            <v>1</v>
          </cell>
          <cell r="C82">
            <v>1</v>
          </cell>
          <cell r="D82">
            <v>2</v>
          </cell>
          <cell r="E82">
            <v>0.53</v>
          </cell>
        </row>
        <row r="83">
          <cell r="E83">
            <v>2.58</v>
          </cell>
        </row>
        <row r="84">
          <cell r="F84">
            <v>2.73</v>
          </cell>
        </row>
        <row r="85">
          <cell r="B85">
            <v>1</v>
          </cell>
          <cell r="C85">
            <v>1</v>
          </cell>
          <cell r="D85">
            <v>2</v>
          </cell>
          <cell r="E85">
            <v>8.14</v>
          </cell>
        </row>
        <row r="86">
          <cell r="E86">
            <v>2.58</v>
          </cell>
        </row>
        <row r="87">
          <cell r="F87">
            <v>42</v>
          </cell>
        </row>
        <row r="88">
          <cell r="B88">
            <v>1</v>
          </cell>
          <cell r="C88">
            <v>1</v>
          </cell>
          <cell r="D88">
            <v>2</v>
          </cell>
          <cell r="E88">
            <v>4.4099999999999993</v>
          </cell>
        </row>
        <row r="89">
          <cell r="E89">
            <v>2.58</v>
          </cell>
        </row>
        <row r="90">
          <cell r="F90">
            <v>22.76</v>
          </cell>
        </row>
        <row r="91">
          <cell r="B91">
            <v>1</v>
          </cell>
          <cell r="C91">
            <v>1</v>
          </cell>
          <cell r="D91">
            <v>1</v>
          </cell>
          <cell r="E91">
            <v>2.75</v>
          </cell>
        </row>
        <row r="92">
          <cell r="E92">
            <v>2.88</v>
          </cell>
        </row>
        <row r="93">
          <cell r="F93">
            <v>7.92</v>
          </cell>
        </row>
        <row r="94">
          <cell r="B94">
            <v>1</v>
          </cell>
          <cell r="C94">
            <v>1</v>
          </cell>
          <cell r="D94">
            <v>1</v>
          </cell>
          <cell r="E94">
            <v>3.5</v>
          </cell>
        </row>
        <row r="95">
          <cell r="E95">
            <v>2.88</v>
          </cell>
        </row>
        <row r="96">
          <cell r="F96">
            <v>10.08</v>
          </cell>
        </row>
        <row r="97">
          <cell r="B97">
            <v>1</v>
          </cell>
          <cell r="C97">
            <v>1</v>
          </cell>
          <cell r="D97">
            <v>1</v>
          </cell>
          <cell r="E97">
            <v>6.6</v>
          </cell>
        </row>
        <row r="98">
          <cell r="E98">
            <v>2.58</v>
          </cell>
        </row>
        <row r="99">
          <cell r="F99">
            <v>17.03</v>
          </cell>
        </row>
        <row r="100">
          <cell r="B100">
            <v>1</v>
          </cell>
          <cell r="C100">
            <v>1</v>
          </cell>
          <cell r="D100">
            <v>1</v>
          </cell>
          <cell r="E100">
            <v>20.93</v>
          </cell>
        </row>
        <row r="101">
          <cell r="E101">
            <v>2.58</v>
          </cell>
        </row>
        <row r="102">
          <cell r="F102">
            <v>54</v>
          </cell>
        </row>
        <row r="103">
          <cell r="B103">
            <v>1</v>
          </cell>
          <cell r="C103">
            <v>1</v>
          </cell>
          <cell r="D103">
            <v>1</v>
          </cell>
          <cell r="E103">
            <v>3.06</v>
          </cell>
        </row>
        <row r="104">
          <cell r="E104">
            <v>2.88</v>
          </cell>
        </row>
        <row r="105">
          <cell r="F105">
            <v>8.81</v>
          </cell>
        </row>
        <row r="106">
          <cell r="B106">
            <v>1</v>
          </cell>
          <cell r="C106">
            <v>1</v>
          </cell>
          <cell r="D106">
            <v>1</v>
          </cell>
          <cell r="E106">
            <v>3.84</v>
          </cell>
        </row>
        <row r="107">
          <cell r="E107">
            <v>2.58</v>
          </cell>
        </row>
        <row r="108">
          <cell r="F108">
            <v>9.91</v>
          </cell>
        </row>
        <row r="109">
          <cell r="B109">
            <v>1</v>
          </cell>
          <cell r="C109">
            <v>1</v>
          </cell>
          <cell r="D109">
            <v>1</v>
          </cell>
          <cell r="E109">
            <v>1.95</v>
          </cell>
        </row>
        <row r="110">
          <cell r="E110">
            <v>2.88</v>
          </cell>
        </row>
        <row r="111">
          <cell r="F111">
            <v>5.62</v>
          </cell>
        </row>
        <row r="112">
          <cell r="B112">
            <v>1</v>
          </cell>
          <cell r="C112">
            <v>1</v>
          </cell>
          <cell r="D112">
            <v>1</v>
          </cell>
          <cell r="E112">
            <v>4.78</v>
          </cell>
        </row>
        <row r="113">
          <cell r="E113">
            <v>2.58</v>
          </cell>
        </row>
        <row r="114">
          <cell r="F114">
            <v>12.33</v>
          </cell>
        </row>
        <row r="115">
          <cell r="B115">
            <v>1</v>
          </cell>
          <cell r="C115">
            <v>1</v>
          </cell>
          <cell r="D115">
            <v>1</v>
          </cell>
          <cell r="E115">
            <v>14.18</v>
          </cell>
        </row>
        <row r="116">
          <cell r="E116">
            <v>2.58</v>
          </cell>
        </row>
        <row r="117">
          <cell r="F117">
            <v>36.58</v>
          </cell>
        </row>
        <row r="118">
          <cell r="B118">
            <v>1</v>
          </cell>
          <cell r="C118">
            <v>1</v>
          </cell>
          <cell r="D118">
            <v>1</v>
          </cell>
          <cell r="E118">
            <v>9.56</v>
          </cell>
        </row>
        <row r="119">
          <cell r="E119">
            <v>2.58</v>
          </cell>
        </row>
        <row r="120">
          <cell r="F120">
            <v>24.66</v>
          </cell>
        </row>
        <row r="121">
          <cell r="B121">
            <v>1</v>
          </cell>
          <cell r="C121">
            <v>1</v>
          </cell>
          <cell r="D121">
            <v>1</v>
          </cell>
          <cell r="E121">
            <v>26.33</v>
          </cell>
        </row>
        <row r="122">
          <cell r="E122">
            <v>0.9</v>
          </cell>
        </row>
        <row r="123">
          <cell r="F123">
            <v>23.7</v>
          </cell>
        </row>
        <row r="125">
          <cell r="B125">
            <v>-1</v>
          </cell>
          <cell r="C125">
            <v>1</v>
          </cell>
          <cell r="D125">
            <v>6</v>
          </cell>
          <cell r="E125">
            <v>0.6</v>
          </cell>
        </row>
        <row r="126">
          <cell r="E126">
            <v>0.6</v>
          </cell>
        </row>
        <row r="127">
          <cell r="F127">
            <v>-2.16</v>
          </cell>
        </row>
        <row r="128">
          <cell r="B128">
            <v>-1</v>
          </cell>
          <cell r="C128">
            <v>1</v>
          </cell>
          <cell r="D128">
            <v>5</v>
          </cell>
          <cell r="E128">
            <v>1</v>
          </cell>
        </row>
        <row r="129">
          <cell r="E129">
            <v>1.5</v>
          </cell>
        </row>
        <row r="130">
          <cell r="F130">
            <v>-7.5</v>
          </cell>
        </row>
        <row r="131">
          <cell r="B131">
            <v>-1</v>
          </cell>
          <cell r="C131">
            <v>1</v>
          </cell>
          <cell r="D131">
            <v>9</v>
          </cell>
          <cell r="E131">
            <v>1.2</v>
          </cell>
        </row>
        <row r="132">
          <cell r="E132">
            <v>1.5</v>
          </cell>
        </row>
        <row r="133">
          <cell r="F133">
            <v>-16.2</v>
          </cell>
        </row>
        <row r="134">
          <cell r="B134">
            <v>-1</v>
          </cell>
          <cell r="C134">
            <v>1</v>
          </cell>
          <cell r="D134">
            <v>6</v>
          </cell>
          <cell r="E134">
            <v>1.5</v>
          </cell>
        </row>
        <row r="135">
          <cell r="E135">
            <v>1.5</v>
          </cell>
        </row>
        <row r="136">
          <cell r="F136">
            <v>-13.5</v>
          </cell>
        </row>
        <row r="137">
          <cell r="A137" t="str">
            <v>B2.1</v>
          </cell>
          <cell r="F137">
            <v>1428.7899999999997</v>
          </cell>
        </row>
        <row r="141">
          <cell r="B141">
            <v>1</v>
          </cell>
          <cell r="C141">
            <v>4</v>
          </cell>
          <cell r="D141">
            <v>1</v>
          </cell>
          <cell r="E141">
            <v>2.25</v>
          </cell>
        </row>
        <row r="142">
          <cell r="E142">
            <v>2.6</v>
          </cell>
        </row>
        <row r="143">
          <cell r="F143">
            <v>23.4</v>
          </cell>
        </row>
        <row r="144">
          <cell r="B144">
            <v>1</v>
          </cell>
          <cell r="C144">
            <v>4</v>
          </cell>
          <cell r="D144">
            <v>2</v>
          </cell>
          <cell r="E144">
            <v>3.0700000000000003</v>
          </cell>
        </row>
        <row r="145">
          <cell r="E145">
            <v>2.6</v>
          </cell>
        </row>
        <row r="146">
          <cell r="F146">
            <v>63.86</v>
          </cell>
        </row>
        <row r="147">
          <cell r="B147">
            <v>1</v>
          </cell>
          <cell r="C147">
            <v>4</v>
          </cell>
          <cell r="D147">
            <v>2</v>
          </cell>
          <cell r="E147">
            <v>1.55</v>
          </cell>
        </row>
        <row r="148">
          <cell r="E148">
            <v>2.4</v>
          </cell>
        </row>
        <row r="149">
          <cell r="F149">
            <v>29.76</v>
          </cell>
        </row>
        <row r="150">
          <cell r="B150">
            <v>1</v>
          </cell>
          <cell r="C150">
            <v>4</v>
          </cell>
          <cell r="D150">
            <v>1</v>
          </cell>
          <cell r="E150">
            <v>4.1100000000000003</v>
          </cell>
        </row>
        <row r="151">
          <cell r="E151">
            <v>2.6</v>
          </cell>
        </row>
        <row r="152">
          <cell r="F152">
            <v>42.74</v>
          </cell>
        </row>
        <row r="153">
          <cell r="B153">
            <v>1</v>
          </cell>
          <cell r="C153">
            <v>4</v>
          </cell>
          <cell r="D153">
            <v>1</v>
          </cell>
          <cell r="E153">
            <v>2.9000000000000004</v>
          </cell>
        </row>
        <row r="154">
          <cell r="E154">
            <v>2.6</v>
          </cell>
        </row>
        <row r="155">
          <cell r="F155">
            <v>30.16</v>
          </cell>
        </row>
        <row r="156">
          <cell r="B156">
            <v>1</v>
          </cell>
          <cell r="C156">
            <v>4</v>
          </cell>
          <cell r="D156">
            <v>1</v>
          </cell>
          <cell r="E156">
            <v>2.25</v>
          </cell>
        </row>
        <row r="157">
          <cell r="E157">
            <v>2.4</v>
          </cell>
        </row>
        <row r="158">
          <cell r="F158">
            <v>21.6</v>
          </cell>
        </row>
        <row r="159">
          <cell r="B159">
            <v>1</v>
          </cell>
          <cell r="C159">
            <v>4</v>
          </cell>
          <cell r="D159">
            <v>1</v>
          </cell>
          <cell r="E159">
            <v>2.99</v>
          </cell>
        </row>
        <row r="160">
          <cell r="E160">
            <v>2.6</v>
          </cell>
        </row>
        <row r="161">
          <cell r="F161">
            <v>31.1</v>
          </cell>
        </row>
        <row r="163">
          <cell r="B163">
            <v>1</v>
          </cell>
          <cell r="C163">
            <v>1</v>
          </cell>
          <cell r="D163">
            <v>1</v>
          </cell>
          <cell r="E163">
            <v>2.25</v>
          </cell>
        </row>
        <row r="164">
          <cell r="E164">
            <v>2.88</v>
          </cell>
        </row>
        <row r="165">
          <cell r="F165">
            <v>6.48</v>
          </cell>
        </row>
        <row r="166">
          <cell r="B166">
            <v>1</v>
          </cell>
          <cell r="C166">
            <v>1</v>
          </cell>
          <cell r="D166">
            <v>2</v>
          </cell>
          <cell r="E166">
            <v>5.5</v>
          </cell>
        </row>
        <row r="167">
          <cell r="E167">
            <v>2.88</v>
          </cell>
        </row>
        <row r="168">
          <cell r="F168">
            <v>31.68</v>
          </cell>
        </row>
        <row r="169">
          <cell r="B169">
            <v>1</v>
          </cell>
          <cell r="C169">
            <v>1</v>
          </cell>
          <cell r="D169">
            <v>2</v>
          </cell>
          <cell r="E169">
            <v>1.55</v>
          </cell>
        </row>
        <row r="170">
          <cell r="E170">
            <v>2.58</v>
          </cell>
        </row>
        <row r="171">
          <cell r="F171">
            <v>8</v>
          </cell>
        </row>
        <row r="172">
          <cell r="B172">
            <v>1</v>
          </cell>
          <cell r="C172">
            <v>1</v>
          </cell>
          <cell r="D172">
            <v>1</v>
          </cell>
          <cell r="E172">
            <v>8.1100000000000012</v>
          </cell>
        </row>
        <row r="173">
          <cell r="E173">
            <v>2.88</v>
          </cell>
        </row>
        <row r="174">
          <cell r="F174">
            <v>23.36</v>
          </cell>
        </row>
        <row r="175">
          <cell r="B175">
            <v>1</v>
          </cell>
          <cell r="C175">
            <v>1</v>
          </cell>
          <cell r="D175">
            <v>1</v>
          </cell>
          <cell r="E175">
            <v>9.65</v>
          </cell>
        </row>
        <row r="176">
          <cell r="E176">
            <v>2.88</v>
          </cell>
        </row>
        <row r="177">
          <cell r="F177">
            <v>27.79</v>
          </cell>
        </row>
        <row r="178">
          <cell r="B178">
            <v>1</v>
          </cell>
          <cell r="C178">
            <v>1</v>
          </cell>
          <cell r="D178">
            <v>1</v>
          </cell>
          <cell r="E178">
            <v>2.25</v>
          </cell>
        </row>
        <row r="179">
          <cell r="E179">
            <v>2.58</v>
          </cell>
        </row>
        <row r="180">
          <cell r="F180">
            <v>5.81</v>
          </cell>
        </row>
        <row r="181">
          <cell r="B181">
            <v>1</v>
          </cell>
          <cell r="C181">
            <v>1</v>
          </cell>
          <cell r="D181">
            <v>1</v>
          </cell>
          <cell r="E181">
            <v>16.849999999999998</v>
          </cell>
        </row>
        <row r="182">
          <cell r="E182">
            <v>2.88</v>
          </cell>
        </row>
        <row r="183">
          <cell r="F183">
            <v>48.53</v>
          </cell>
        </row>
        <row r="184">
          <cell r="A184" t="str">
            <v>B2.3</v>
          </cell>
          <cell r="F184">
            <v>394.27</v>
          </cell>
        </row>
      </sheetData>
      <sheetData sheetId="1"/>
      <sheetData sheetId="2"/>
      <sheetData sheetId="3"/>
      <sheetData sheetId="4"/>
      <sheetData sheetId="5"/>
      <sheetData sheetId="6"/>
      <sheetData sheetId="7"/>
      <sheetData sheetId="8"/>
      <sheetData sheetId="9"/>
      <sheetData sheetId="10">
        <row r="1">
          <cell r="B1" t="str">
            <v>Project: Low Cost Housing Development Project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PROJECT TRACKING"/>
      <sheetName val="wa"/>
      <sheetName val="Break Down  "/>
      <sheetName val="Aca. Off - I"/>
      <sheetName val="Date"/>
      <sheetName val="Sheet2"/>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Income Stmnt"/>
      <sheetName val="Labor Budget"/>
      <sheetName val="08 Ar &amp; St"/>
      <sheetName val="08 Summary"/>
      <sheetName val="08 A-2 200kp Resi Sup St."/>
      <sheetName val="Summary"/>
      <sheetName val="Dining Room "/>
      <sheetName val="Week 4"/>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 val="Lot-2A(Rev.Bill )"/>
      <sheetName val="Lot-2B(Rev. Bill)"/>
      <sheetName val="Lot-1(Rev. Bill )"/>
      <sheetName val="PA(B-2)L"/>
      <sheetName val="JUCK"/>
      <sheetName val="PHY&amp;FIN PROG."/>
      <sheetName val="DIR Man power Rep"/>
      <sheetName val="DIR MP DATA "/>
      <sheetName val="INDIR MP Rep"/>
      <sheetName val="sub cont. work"/>
      <sheetName val="RHS and Latice Pulin "/>
      <sheetName val="Plastering for Res."/>
      <sheetName val="05 Sub Structure BC = 300"/>
      <sheetName val="05 RB A-2 300kp Res. Sub St."/>
      <sheetName val="05 Summary"/>
      <sheetName val="Daily_feed"/>
      <sheetName val="Re Bar-Super str."/>
      <sheetName val="L-2 Rhs"/>
      <sheetName val="L-2 MEWD Standard"/>
      <sheetName val="L-2 Resi Sub Standard."/>
      <sheetName val="DAF-2"/>
      <sheetName val="자압"/>
      <sheetName val="Loading and analysis"/>
      <sheetName val="SUB ST"/>
      <sheetName val="Bill off sheet (12)"/>
      <sheetName val="300 AR-ST"/>
      <sheetName val="Break_Down__20"/>
      <sheetName val="Aca__Off_-_I20"/>
      <sheetName val="Service_quarter11"/>
      <sheetName val="Guard_house11"/>
      <sheetName val="Dry_latrine11"/>
      <sheetName val="site_san11"/>
      <sheetName val="electrical_site_work11"/>
      <sheetName val="Variation_work11"/>
      <sheetName val="OPD_take_off11"/>
      <sheetName val="Waiting_Takeoff11"/>
      <sheetName val="IPD_Takeoff11"/>
      <sheetName val="OR_takeoff11"/>
      <sheetName val="Income_Stmnt11"/>
      <sheetName val="PROJECT_TRACKING20"/>
      <sheetName val="Labor_Budget11"/>
      <sheetName val="08_Ar_&amp;_St11"/>
      <sheetName val="08_Summary11"/>
      <sheetName val="08_A-2_200kp_Resi_Sup_St_11"/>
      <sheetName val="Week_411"/>
      <sheetName val="Cash_flow_schedule_Phase_1&amp;211"/>
      <sheetName val="Dining_Room_11"/>
      <sheetName val="MEWD_10"/>
      <sheetName val="BOQ_block_310"/>
      <sheetName val="Lab__BOQ_10"/>
      <sheetName val="05_Ar_&amp;_St10"/>
      <sheetName val="A-2_blcok_work_Res_10"/>
      <sheetName val="05_RB_A-2_200kp_Res__Sub_St_10"/>
      <sheetName val="05_A-2_300kp_Sup_St_10"/>
      <sheetName val="_L_-1__sub_R-bar_8"/>
      <sheetName val="L-1_200kpa_Res_Sub8"/>
      <sheetName val="Exc_8"/>
      <sheetName val="05_RB_A-2_300kp_Shop_Sub_St_8"/>
      <sheetName val="SUB_BOQ10"/>
      <sheetName val="Mob_II11"/>
      <sheetName val="Ls_Item11"/>
      <sheetName val="_analysis8"/>
      <sheetName val="page_-1_project_information10"/>
      <sheetName val="summary_of_activitie_old10"/>
      <sheetName val="dia_8mm10"/>
      <sheetName val="page_-_12_MWF_oct__qty10"/>
      <sheetName val="coded_&amp;_priced_(4)10"/>
      <sheetName val="dia_14mm10"/>
      <sheetName val="CR-1_Roof_Water_Pro_10"/>
      <sheetName val="dia_16mm10"/>
      <sheetName val="dia_10mm10"/>
      <sheetName val="dia_12mm10"/>
      <sheetName val="dia_20mm10"/>
      <sheetName val="dia_24mm10"/>
      <sheetName val="Ar_&amp;_St10"/>
      <sheetName val="Sub_Structure_BC_=_20010"/>
      <sheetName val="_L_-1__sub_R-bar_for_200Kpa_8"/>
      <sheetName val="_Ar_&amp;_St8"/>
      <sheetName val="05_A-2_300kp_Shop_Sup_St_3"/>
      <sheetName val="perforated_sheet_cost_-Custom10"/>
      <sheetName val="Sub_Structure_BC_=_3008"/>
      <sheetName val="E-1_300kp_Res__Sup_St_8"/>
      <sheetName val="Final_Direct_Cost3"/>
      <sheetName val="Bills_of_Quantities10"/>
      <sheetName val="Grand_Summary8"/>
      <sheetName val="Summary_Chash_Flow2"/>
      <sheetName val="Title_List2"/>
      <sheetName val="ST_con__Sup__M_B_8"/>
      <sheetName val="SUP_bar8"/>
      <sheetName val="E-1_Block_Work_Residence2"/>
      <sheetName val="05_A-2_300kp_Res__Sup_St_2"/>
      <sheetName val="RB_E-1_300kp_Res__Super_St_2"/>
      <sheetName val="Certificate_Pay_12"/>
      <sheetName val="Super_BOQ2"/>
      <sheetName val="Supr_Rebar2"/>
      <sheetName val="OPD_takh2"/>
      <sheetName val="PRECAST_lightconc-II2"/>
      <sheetName val="Raw_Data2"/>
      <sheetName val="C__Material_2"/>
      <sheetName val="E__Equipments2"/>
      <sheetName val="D__Labor_2"/>
      <sheetName val="RB_E-1_200kp_Res__Sub_St_2"/>
      <sheetName val="E-1_200kp_Res__Sub_St_2"/>
      <sheetName val="E-1_200kp__Sup_St_2"/>
      <sheetName val="OPD_takh_x005f_x0000_t_x005f_x0000_t2"/>
      <sheetName val="Service_quarter9"/>
      <sheetName val="Guard_house9"/>
      <sheetName val="Dry_latrine9"/>
      <sheetName val="site_san9"/>
      <sheetName val="electrical_site_work9"/>
      <sheetName val="Variation_work9"/>
      <sheetName val="OPD_take_off9"/>
      <sheetName val="Waiting_Takeoff9"/>
      <sheetName val="IPD_Takeoff9"/>
      <sheetName val="OR_takeoff9"/>
      <sheetName val="PROJECT_TRACKING18"/>
      <sheetName val="Break_Down__18"/>
      <sheetName val="Aca__Off_-_I18"/>
      <sheetName val="Labor_Budget9"/>
      <sheetName val="Income_Stmnt9"/>
      <sheetName val="08_Ar_&amp;_St9"/>
      <sheetName val="08_Summary9"/>
      <sheetName val="08_A-2_200kp_Resi_Sup_St_9"/>
      <sheetName val="Dining_Room_9"/>
      <sheetName val="Cash_flow_schedule_Phase_1&amp;29"/>
      <sheetName val="05_Ar_&amp;_St8"/>
      <sheetName val="A-2_blcok_work_Res_8"/>
      <sheetName val="05_RB_A-2_200kp_Res__Sub_St_8"/>
      <sheetName val="05_A-2_300kp_Sup_St_8"/>
      <sheetName val="BOQ_block_38"/>
      <sheetName val="Week_49"/>
      <sheetName val="MEWD_8"/>
      <sheetName val="SUB_BOQ8"/>
      <sheetName val="Lab__BOQ_8"/>
      <sheetName val="Mob_II9"/>
      <sheetName val="Ls_Item9"/>
      <sheetName val="dia_8mm8"/>
      <sheetName val="page_-_12_MWF_oct__qty8"/>
      <sheetName val="coded_&amp;_priced_(4)8"/>
      <sheetName val="dia_14mm8"/>
      <sheetName val="CR-1_Roof_Water_Pro_8"/>
      <sheetName val="dia_16mm8"/>
      <sheetName val="dia_10mm8"/>
      <sheetName val="dia_12mm8"/>
      <sheetName val="dia_20mm8"/>
      <sheetName val="dia_24mm8"/>
      <sheetName val="page_-1_project_information8"/>
      <sheetName val="summary_of_activitie_old8"/>
      <sheetName val="Ar_&amp;_St8"/>
      <sheetName val="Sub_Structure_BC_=_2008"/>
      <sheetName val="_L_-1__sub_R-bar_for_200Kpa_6"/>
      <sheetName val="_Ar_&amp;_St6"/>
      <sheetName val="_analysis6"/>
      <sheetName val="_L_-1__sub_R-bar_6"/>
      <sheetName val="L-1_200kpa_Res_Sub6"/>
      <sheetName val="Exc_6"/>
      <sheetName val="05_RB_A-2_300kp_Shop_Sub_St_6"/>
      <sheetName val="Summary_Chash_Flow"/>
      <sheetName val="perforated_sheet_cost_-Customs8"/>
      <sheetName val="Sub_Structure_BC_=_3006"/>
      <sheetName val="E-1_300kp_Res__Sup_St_6"/>
      <sheetName val="Grand_Summary6"/>
      <sheetName val="Bills_of_Quantities8"/>
      <sheetName val="Final_Direct_Cost1"/>
      <sheetName val="05_A-2_300kp_Shop_Sup_St_1"/>
      <sheetName val="PRECAST_lightconc-II"/>
      <sheetName val="05_A-2_300kp_Res__Sup_St_"/>
      <sheetName val="ST_con__Sup__M_B_6"/>
      <sheetName val="SUP_bar6"/>
      <sheetName val="E-1_Block_Work_Residence"/>
      <sheetName val="RB_E-1_300kp_Res__Super_St_"/>
      <sheetName val="OPD_takh"/>
      <sheetName val="Certificate_Pay_1"/>
      <sheetName val="Title_List"/>
      <sheetName val="RB_E-1_200kp_Res__Sub_St_"/>
      <sheetName val="E-1_200kp_Res__Sub_St_"/>
      <sheetName val="E-1_200kp__Sup_St_"/>
      <sheetName val="Super_BOQ"/>
      <sheetName val="Supr_Rebar"/>
      <sheetName val="Raw_Data"/>
      <sheetName val="C__Material_"/>
      <sheetName val="E__Equipments"/>
      <sheetName val="D__Labor_"/>
      <sheetName val="OPD_takh_x005f_x0000_t_x005f_x0000_t"/>
      <sheetName val="Break_Down__19"/>
      <sheetName val="Aca__Off_-_I19"/>
      <sheetName val="Service_quarter10"/>
      <sheetName val="Guard_house10"/>
      <sheetName val="Dry_latrine10"/>
      <sheetName val="site_san10"/>
      <sheetName val="electrical_site_work10"/>
      <sheetName val="Variation_work10"/>
      <sheetName val="OPD_take_off10"/>
      <sheetName val="Waiting_Takeoff10"/>
      <sheetName val="IPD_Takeoff10"/>
      <sheetName val="OR_takeoff10"/>
      <sheetName val="Income_Stmnt10"/>
      <sheetName val="PROJECT_TRACKING19"/>
      <sheetName val="Labor_Budget10"/>
      <sheetName val="08_Ar_&amp;_St10"/>
      <sheetName val="08_Summary10"/>
      <sheetName val="08_A-2_200kp_Resi_Sup_St_10"/>
      <sheetName val="Week_410"/>
      <sheetName val="Cash_flow_schedule_Phase_1&amp;210"/>
      <sheetName val="Dining_Room_10"/>
      <sheetName val="MEWD_9"/>
      <sheetName val="BOQ_block_39"/>
      <sheetName val="Lab__BOQ_9"/>
      <sheetName val="05_Ar_&amp;_St9"/>
      <sheetName val="A-2_blcok_work_Res_9"/>
      <sheetName val="05_RB_A-2_200kp_Res__Sub_St_9"/>
      <sheetName val="05_A-2_300kp_Sup_St_9"/>
      <sheetName val="_L_-1__sub_R-bar_7"/>
      <sheetName val="L-1_200kpa_Res_Sub7"/>
      <sheetName val="Exc_7"/>
      <sheetName val="05_RB_A-2_300kp_Shop_Sub_St_7"/>
      <sheetName val="SUB_BOQ9"/>
      <sheetName val="Mob_II10"/>
      <sheetName val="Ls_Item10"/>
      <sheetName val="_analysis7"/>
      <sheetName val="page_-1_project_information9"/>
      <sheetName val="summary_of_activitie_old9"/>
      <sheetName val="dia_8mm9"/>
      <sheetName val="page_-_12_MWF_oct__qty9"/>
      <sheetName val="coded_&amp;_priced_(4)9"/>
      <sheetName val="dia_14mm9"/>
      <sheetName val="CR-1_Roof_Water_Pro_9"/>
      <sheetName val="dia_16mm9"/>
      <sheetName val="dia_10mm9"/>
      <sheetName val="dia_12mm9"/>
      <sheetName val="dia_20mm9"/>
      <sheetName val="dia_24mm9"/>
      <sheetName val="Ar_&amp;_St9"/>
      <sheetName val="Sub_Structure_BC_=_2009"/>
      <sheetName val="_L_-1__sub_R-bar_for_200Kpa_7"/>
      <sheetName val="_Ar_&amp;_St7"/>
      <sheetName val="05_A-2_300kp_Shop_Sup_St_2"/>
      <sheetName val="perforated_sheet_cost_-Customs9"/>
      <sheetName val="Sub_Structure_BC_=_3007"/>
      <sheetName val="E-1_300kp_Res__Sup_St_7"/>
      <sheetName val="Final_Direct_Cost2"/>
      <sheetName val="Bills_of_Quantities9"/>
      <sheetName val="Grand_Summary7"/>
      <sheetName val="Summary_Chash_Flow1"/>
      <sheetName val="Title_List1"/>
      <sheetName val="ST_con__Sup__M_B_7"/>
      <sheetName val="SUP_bar7"/>
      <sheetName val="E-1_Block_Work_Residence1"/>
      <sheetName val="05_A-2_300kp_Res__Sup_St_1"/>
      <sheetName val="RB_E-1_300kp_Res__Super_St_1"/>
      <sheetName val="Certificate_Pay_11"/>
      <sheetName val="Super_BOQ1"/>
      <sheetName val="Supr_Rebar1"/>
      <sheetName val="OPD_takh1"/>
      <sheetName val="PRECAST_lightconc-II1"/>
      <sheetName val="Raw_Data1"/>
      <sheetName val="C__Material_1"/>
      <sheetName val="E__Equipments1"/>
      <sheetName val="D__Labor_1"/>
      <sheetName val="RB_E-1_200kp_Res__Sub_St_1"/>
      <sheetName val="E-1_200kp_Res__Sub_St_1"/>
      <sheetName val="E-1_200kp__Sup_St_1"/>
      <sheetName val="OPD_takh_x005f_x0000_t_x005f_x0000_t1"/>
      <sheetName val="PROJECT_TRACKING21"/>
      <sheetName val="Break_Down__21"/>
      <sheetName val="Aca__Off_-_I21"/>
      <sheetName val="Service_quarter12"/>
      <sheetName val="Guard_house12"/>
      <sheetName val="Dry_latrine12"/>
      <sheetName val="site_san12"/>
      <sheetName val="electrical_site_work12"/>
      <sheetName val="Variation_work12"/>
      <sheetName val="OPD_take_off12"/>
      <sheetName val="Waiting_Takeoff12"/>
      <sheetName val="IPD_Takeoff12"/>
      <sheetName val="OR_takeoff12"/>
      <sheetName val="Labor_Budget12"/>
      <sheetName val="Income_Stmnt12"/>
      <sheetName val="08_Ar_&amp;_St12"/>
      <sheetName val="08_Summary12"/>
      <sheetName val="08_A-2_200kp_Resi_Sup_St_12"/>
      <sheetName val="Dining_Room_12"/>
      <sheetName val="05_Ar_&amp;_St11"/>
      <sheetName val="A-2_blcok_work_Res_11"/>
      <sheetName val="05_RB_A-2_200kp_Res__Sub_St_11"/>
      <sheetName val="05_A-2_300kp_Sup_St_11"/>
      <sheetName val="Cash_flow_schedule_Phase_1&amp;212"/>
      <sheetName val="Week_412"/>
      <sheetName val="BOQ_block_311"/>
      <sheetName val="Mob_II12"/>
      <sheetName val="Ls_Item12"/>
      <sheetName val="MEWD_11"/>
      <sheetName val="dia_8mm11"/>
      <sheetName val="page_-_12_MWF_oct__qty11"/>
      <sheetName val="coded_&amp;_priced_(4)11"/>
      <sheetName val="dia_14mm11"/>
      <sheetName val="CR-1_Roof_Water_Pro_11"/>
      <sheetName val="dia_16mm11"/>
      <sheetName val="dia_10mm11"/>
      <sheetName val="dia_12mm11"/>
      <sheetName val="dia_20mm11"/>
      <sheetName val="dia_24mm11"/>
      <sheetName val="page_-1_project_information11"/>
      <sheetName val="summary_of_activitie_old11"/>
      <sheetName val="Lab__BOQ_11"/>
      <sheetName val="SUB_BOQ11"/>
      <sheetName val="Ar_&amp;_St11"/>
      <sheetName val="Sub_Structure_BC_=_20011"/>
      <sheetName val="Bills_of_Quantities11"/>
      <sheetName val="perforated_sheet_cost_-Custom11"/>
      <sheetName val="_L_-1__sub_R-bar_9"/>
      <sheetName val="L-1_200kpa_Res_Sub9"/>
      <sheetName val="Exc_9"/>
      <sheetName val="_analysis9"/>
      <sheetName val="_L_-1__sub_R-bar_for_200Kpa_9"/>
      <sheetName val="_Ar_&amp;_St9"/>
      <sheetName val="Sub_Structure_BC_=_3009"/>
      <sheetName val="E-1_300kp_Res__Sup_St_9"/>
      <sheetName val="05_RB_A-2_300kp_Shop_Sub_St_9"/>
      <sheetName val="Grand_Summary9"/>
      <sheetName val="Summary_Chash_Flow3"/>
      <sheetName val="Final_Direct_Cost4"/>
      <sheetName val="Title_List3"/>
      <sheetName val="ST_con__Sup__M_B_9"/>
      <sheetName val="SUP_bar9"/>
      <sheetName val="05_A-2_300kp_Shop_Sup_St_4"/>
      <sheetName val="E-1_Block_Work_Residence3"/>
      <sheetName val="05_A-2_300kp_Res__Sup_St_3"/>
      <sheetName val="RB_E-1_300kp_Res__Super_St_3"/>
      <sheetName val="Certificate_Pay_13"/>
      <sheetName val="Super_BOQ3"/>
      <sheetName val="Supr_Rebar3"/>
      <sheetName val="OPD_takh3"/>
      <sheetName val="PRECAST_lightconc-II3"/>
      <sheetName val="Raw_Data3"/>
      <sheetName val="C__Material_3"/>
      <sheetName val="E__Equipments3"/>
      <sheetName val="D__Labor_3"/>
      <sheetName val="RB_E-1_200kp_Res__Sub_St_3"/>
      <sheetName val="E-1_200kp_Res__Sub_St_3"/>
      <sheetName val="E-1_200kp__Sup_St_3"/>
      <sheetName val="OPD_takh_x005f_x0000_t_x005f_x0000_t3"/>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sheetName val=" Sub Structure BC = 300"/>
      <sheetName val=" E2 Res (EXC&amp;MAS300kp)"/>
      <sheetName val="Excavation data "/>
      <sheetName val="masonary data"/>
      <sheetName val=" E2 Res TAKOFF(con sub300kp)"/>
      <sheetName val=" TAKE OFF(form sub 300kp)"/>
      <sheetName val="E2 Res TAKE OFF(ref sub 300 kp)"/>
      <sheetName val="take off con sup"/>
      <sheetName val="take off formwork sup"/>
      <sheetName val="R-bar sup"/>
      <sheetName val="Block Work Res."/>
      <sheetName val="Plate &amp; J-bolt"/>
    </sheetNames>
    <sheetDataSet>
      <sheetData sheetId="0" refreshError="1">
        <row r="7">
          <cell r="J7" t="str">
            <v>Todate Qty</v>
          </cell>
        </row>
        <row r="39">
          <cell r="M39">
            <v>437754.31000000006</v>
          </cell>
        </row>
        <row r="77">
          <cell r="M77">
            <v>2646</v>
          </cell>
        </row>
      </sheetData>
      <sheetData sheetId="1">
        <row r="14">
          <cell r="E14">
            <v>0</v>
          </cell>
        </row>
      </sheetData>
      <sheetData sheetId="2">
        <row r="14">
          <cell r="E14">
            <v>0</v>
          </cell>
        </row>
      </sheetData>
      <sheetData sheetId="3">
        <row r="7">
          <cell r="J7" t="str">
            <v>Todate Qty</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60" zoomScaleNormal="100" workbookViewId="0">
      <selection activeCell="O24" sqref="O24"/>
    </sheetView>
  </sheetViews>
  <sheetFormatPr defaultColWidth="0" defaultRowHeight="14.4"/>
  <cols>
    <col min="1" max="1" width="9.44140625" style="58" customWidth="1"/>
    <col min="2" max="9" width="9.44140625" style="51" customWidth="1"/>
    <col min="10" max="10" width="5" style="51" customWidth="1"/>
    <col min="11" max="254" width="9.109375" style="51" customWidth="1"/>
    <col min="255" max="256" width="0" style="51" hidden="1"/>
    <col min="257" max="257" width="34.109375" style="51" customWidth="1"/>
    <col min="258" max="258" width="28.6640625" style="51" customWidth="1"/>
    <col min="259" max="259" width="32.109375" style="51" customWidth="1"/>
    <col min="260" max="260" width="4" style="51" customWidth="1"/>
    <col min="261" max="262" width="17.44140625" style="51" bestFit="1" customWidth="1"/>
    <col min="263" max="263" width="19.109375" style="51" customWidth="1"/>
    <col min="264" max="510" width="9.109375" style="51" customWidth="1"/>
    <col min="511" max="512" width="0" style="51" hidden="1"/>
    <col min="513" max="513" width="34.109375" style="51" customWidth="1"/>
    <col min="514" max="514" width="28.6640625" style="51" customWidth="1"/>
    <col min="515" max="515" width="32.109375" style="51" customWidth="1"/>
    <col min="516" max="516" width="4" style="51" customWidth="1"/>
    <col min="517" max="518" width="17.44140625" style="51" bestFit="1" customWidth="1"/>
    <col min="519" max="519" width="19.109375" style="51" customWidth="1"/>
    <col min="520" max="766" width="9.109375" style="51" customWidth="1"/>
    <col min="767" max="768" width="0" style="51" hidden="1"/>
    <col min="769" max="769" width="34.109375" style="51" customWidth="1"/>
    <col min="770" max="770" width="28.6640625" style="51" customWidth="1"/>
    <col min="771" max="771" width="32.109375" style="51" customWidth="1"/>
    <col min="772" max="772" width="4" style="51" customWidth="1"/>
    <col min="773" max="774" width="17.44140625" style="51" bestFit="1" customWidth="1"/>
    <col min="775" max="775" width="19.109375" style="51" customWidth="1"/>
    <col min="776" max="1022" width="9.109375" style="51" customWidth="1"/>
    <col min="1023" max="1024" width="0" style="51" hidden="1"/>
    <col min="1025" max="1025" width="34.109375" style="51" customWidth="1"/>
    <col min="1026" max="1026" width="28.6640625" style="51" customWidth="1"/>
    <col min="1027" max="1027" width="32.109375" style="51" customWidth="1"/>
    <col min="1028" max="1028" width="4" style="51" customWidth="1"/>
    <col min="1029" max="1030" width="17.44140625" style="51" bestFit="1" customWidth="1"/>
    <col min="1031" max="1031" width="19.109375" style="51" customWidth="1"/>
    <col min="1032" max="1278" width="9.109375" style="51" customWidth="1"/>
    <col min="1279" max="1280" width="0" style="51" hidden="1"/>
    <col min="1281" max="1281" width="34.109375" style="51" customWidth="1"/>
    <col min="1282" max="1282" width="28.6640625" style="51" customWidth="1"/>
    <col min="1283" max="1283" width="32.109375" style="51" customWidth="1"/>
    <col min="1284" max="1284" width="4" style="51" customWidth="1"/>
    <col min="1285" max="1286" width="17.44140625" style="51" bestFit="1" customWidth="1"/>
    <col min="1287" max="1287" width="19.109375" style="51" customWidth="1"/>
    <col min="1288" max="1534" width="9.109375" style="51" customWidth="1"/>
    <col min="1535" max="1536" width="0" style="51" hidden="1"/>
    <col min="1537" max="1537" width="34.109375" style="51" customWidth="1"/>
    <col min="1538" max="1538" width="28.6640625" style="51" customWidth="1"/>
    <col min="1539" max="1539" width="32.109375" style="51" customWidth="1"/>
    <col min="1540" max="1540" width="4" style="51" customWidth="1"/>
    <col min="1541" max="1542" width="17.44140625" style="51" bestFit="1" customWidth="1"/>
    <col min="1543" max="1543" width="19.109375" style="51" customWidth="1"/>
    <col min="1544" max="1790" width="9.109375" style="51" customWidth="1"/>
    <col min="1791" max="1792" width="0" style="51" hidden="1"/>
    <col min="1793" max="1793" width="34.109375" style="51" customWidth="1"/>
    <col min="1794" max="1794" width="28.6640625" style="51" customWidth="1"/>
    <col min="1795" max="1795" width="32.109375" style="51" customWidth="1"/>
    <col min="1796" max="1796" width="4" style="51" customWidth="1"/>
    <col min="1797" max="1798" width="17.44140625" style="51" bestFit="1" customWidth="1"/>
    <col min="1799" max="1799" width="19.109375" style="51" customWidth="1"/>
    <col min="1800" max="2046" width="9.109375" style="51" customWidth="1"/>
    <col min="2047" max="2048" width="0" style="51" hidden="1"/>
    <col min="2049" max="2049" width="34.109375" style="51" customWidth="1"/>
    <col min="2050" max="2050" width="28.6640625" style="51" customWidth="1"/>
    <col min="2051" max="2051" width="32.109375" style="51" customWidth="1"/>
    <col min="2052" max="2052" width="4" style="51" customWidth="1"/>
    <col min="2053" max="2054" width="17.44140625" style="51" bestFit="1" customWidth="1"/>
    <col min="2055" max="2055" width="19.109375" style="51" customWidth="1"/>
    <col min="2056" max="2302" width="9.109375" style="51" customWidth="1"/>
    <col min="2303" max="2304" width="0" style="51" hidden="1"/>
    <col min="2305" max="2305" width="34.109375" style="51" customWidth="1"/>
    <col min="2306" max="2306" width="28.6640625" style="51" customWidth="1"/>
    <col min="2307" max="2307" width="32.109375" style="51" customWidth="1"/>
    <col min="2308" max="2308" width="4" style="51" customWidth="1"/>
    <col min="2309" max="2310" width="17.44140625" style="51" bestFit="1" customWidth="1"/>
    <col min="2311" max="2311" width="19.109375" style="51" customWidth="1"/>
    <col min="2312" max="2558" width="9.109375" style="51" customWidth="1"/>
    <col min="2559" max="2560" width="0" style="51" hidden="1"/>
    <col min="2561" max="2561" width="34.109375" style="51" customWidth="1"/>
    <col min="2562" max="2562" width="28.6640625" style="51" customWidth="1"/>
    <col min="2563" max="2563" width="32.109375" style="51" customWidth="1"/>
    <col min="2564" max="2564" width="4" style="51" customWidth="1"/>
    <col min="2565" max="2566" width="17.44140625" style="51" bestFit="1" customWidth="1"/>
    <col min="2567" max="2567" width="19.109375" style="51" customWidth="1"/>
    <col min="2568" max="2814" width="9.109375" style="51" customWidth="1"/>
    <col min="2815" max="2816" width="0" style="51" hidden="1"/>
    <col min="2817" max="2817" width="34.109375" style="51" customWidth="1"/>
    <col min="2818" max="2818" width="28.6640625" style="51" customWidth="1"/>
    <col min="2819" max="2819" width="32.109375" style="51" customWidth="1"/>
    <col min="2820" max="2820" width="4" style="51" customWidth="1"/>
    <col min="2821" max="2822" width="17.44140625" style="51" bestFit="1" customWidth="1"/>
    <col min="2823" max="2823" width="19.109375" style="51" customWidth="1"/>
    <col min="2824" max="3070" width="9.109375" style="51" customWidth="1"/>
    <col min="3071" max="3072" width="0" style="51" hidden="1"/>
    <col min="3073" max="3073" width="34.109375" style="51" customWidth="1"/>
    <col min="3074" max="3074" width="28.6640625" style="51" customWidth="1"/>
    <col min="3075" max="3075" width="32.109375" style="51" customWidth="1"/>
    <col min="3076" max="3076" width="4" style="51" customWidth="1"/>
    <col min="3077" max="3078" width="17.44140625" style="51" bestFit="1" customWidth="1"/>
    <col min="3079" max="3079" width="19.109375" style="51" customWidth="1"/>
    <col min="3080" max="3326" width="9.109375" style="51" customWidth="1"/>
    <col min="3327" max="3328" width="0" style="51" hidden="1"/>
    <col min="3329" max="3329" width="34.109375" style="51" customWidth="1"/>
    <col min="3330" max="3330" width="28.6640625" style="51" customWidth="1"/>
    <col min="3331" max="3331" width="32.109375" style="51" customWidth="1"/>
    <col min="3332" max="3332" width="4" style="51" customWidth="1"/>
    <col min="3333" max="3334" width="17.44140625" style="51" bestFit="1" customWidth="1"/>
    <col min="3335" max="3335" width="19.109375" style="51" customWidth="1"/>
    <col min="3336" max="3582" width="9.109375" style="51" customWidth="1"/>
    <col min="3583" max="3584" width="0" style="51" hidden="1"/>
    <col min="3585" max="3585" width="34.109375" style="51" customWidth="1"/>
    <col min="3586" max="3586" width="28.6640625" style="51" customWidth="1"/>
    <col min="3587" max="3587" width="32.109375" style="51" customWidth="1"/>
    <col min="3588" max="3588" width="4" style="51" customWidth="1"/>
    <col min="3589" max="3590" width="17.44140625" style="51" bestFit="1" customWidth="1"/>
    <col min="3591" max="3591" width="19.109375" style="51" customWidth="1"/>
    <col min="3592" max="3838" width="9.109375" style="51" customWidth="1"/>
    <col min="3839" max="3840" width="0" style="51" hidden="1"/>
    <col min="3841" max="3841" width="34.109375" style="51" customWidth="1"/>
    <col min="3842" max="3842" width="28.6640625" style="51" customWidth="1"/>
    <col min="3843" max="3843" width="32.109375" style="51" customWidth="1"/>
    <col min="3844" max="3844" width="4" style="51" customWidth="1"/>
    <col min="3845" max="3846" width="17.44140625" style="51" bestFit="1" customWidth="1"/>
    <col min="3847" max="3847" width="19.109375" style="51" customWidth="1"/>
    <col min="3848" max="4094" width="9.109375" style="51" customWidth="1"/>
    <col min="4095" max="4096" width="0" style="51" hidden="1"/>
    <col min="4097" max="4097" width="34.109375" style="51" customWidth="1"/>
    <col min="4098" max="4098" width="28.6640625" style="51" customWidth="1"/>
    <col min="4099" max="4099" width="32.109375" style="51" customWidth="1"/>
    <col min="4100" max="4100" width="4" style="51" customWidth="1"/>
    <col min="4101" max="4102" width="17.44140625" style="51" bestFit="1" customWidth="1"/>
    <col min="4103" max="4103" width="19.109375" style="51" customWidth="1"/>
    <col min="4104" max="4350" width="9.109375" style="51" customWidth="1"/>
    <col min="4351" max="4352" width="0" style="51" hidden="1"/>
    <col min="4353" max="4353" width="34.109375" style="51" customWidth="1"/>
    <col min="4354" max="4354" width="28.6640625" style="51" customWidth="1"/>
    <col min="4355" max="4355" width="32.109375" style="51" customWidth="1"/>
    <col min="4356" max="4356" width="4" style="51" customWidth="1"/>
    <col min="4357" max="4358" width="17.44140625" style="51" bestFit="1" customWidth="1"/>
    <col min="4359" max="4359" width="19.109375" style="51" customWidth="1"/>
    <col min="4360" max="4606" width="9.109375" style="51" customWidth="1"/>
    <col min="4607" max="4608" width="0" style="51" hidden="1"/>
    <col min="4609" max="4609" width="34.109375" style="51" customWidth="1"/>
    <col min="4610" max="4610" width="28.6640625" style="51" customWidth="1"/>
    <col min="4611" max="4611" width="32.109375" style="51" customWidth="1"/>
    <col min="4612" max="4612" width="4" style="51" customWidth="1"/>
    <col min="4613" max="4614" width="17.44140625" style="51" bestFit="1" customWidth="1"/>
    <col min="4615" max="4615" width="19.109375" style="51" customWidth="1"/>
    <col min="4616" max="4862" width="9.109375" style="51" customWidth="1"/>
    <col min="4863" max="4864" width="0" style="51" hidden="1"/>
    <col min="4865" max="4865" width="34.109375" style="51" customWidth="1"/>
    <col min="4866" max="4866" width="28.6640625" style="51" customWidth="1"/>
    <col min="4867" max="4867" width="32.109375" style="51" customWidth="1"/>
    <col min="4868" max="4868" width="4" style="51" customWidth="1"/>
    <col min="4869" max="4870" width="17.44140625" style="51" bestFit="1" customWidth="1"/>
    <col min="4871" max="4871" width="19.109375" style="51" customWidth="1"/>
    <col min="4872" max="5118" width="9.109375" style="51" customWidth="1"/>
    <col min="5119" max="5120" width="0" style="51" hidden="1"/>
    <col min="5121" max="5121" width="34.109375" style="51" customWidth="1"/>
    <col min="5122" max="5122" width="28.6640625" style="51" customWidth="1"/>
    <col min="5123" max="5123" width="32.109375" style="51" customWidth="1"/>
    <col min="5124" max="5124" width="4" style="51" customWidth="1"/>
    <col min="5125" max="5126" width="17.44140625" style="51" bestFit="1" customWidth="1"/>
    <col min="5127" max="5127" width="19.109375" style="51" customWidth="1"/>
    <col min="5128" max="5374" width="9.109375" style="51" customWidth="1"/>
    <col min="5375" max="5376" width="0" style="51" hidden="1"/>
    <col min="5377" max="5377" width="34.109375" style="51" customWidth="1"/>
    <col min="5378" max="5378" width="28.6640625" style="51" customWidth="1"/>
    <col min="5379" max="5379" width="32.109375" style="51" customWidth="1"/>
    <col min="5380" max="5380" width="4" style="51" customWidth="1"/>
    <col min="5381" max="5382" width="17.44140625" style="51" bestFit="1" customWidth="1"/>
    <col min="5383" max="5383" width="19.109375" style="51" customWidth="1"/>
    <col min="5384" max="5630" width="9.109375" style="51" customWidth="1"/>
    <col min="5631" max="5632" width="0" style="51" hidden="1"/>
    <col min="5633" max="5633" width="34.109375" style="51" customWidth="1"/>
    <col min="5634" max="5634" width="28.6640625" style="51" customWidth="1"/>
    <col min="5635" max="5635" width="32.109375" style="51" customWidth="1"/>
    <col min="5636" max="5636" width="4" style="51" customWidth="1"/>
    <col min="5637" max="5638" width="17.44140625" style="51" bestFit="1" customWidth="1"/>
    <col min="5639" max="5639" width="19.109375" style="51" customWidth="1"/>
    <col min="5640" max="5886" width="9.109375" style="51" customWidth="1"/>
    <col min="5887" max="5888" width="0" style="51" hidden="1"/>
    <col min="5889" max="5889" width="34.109375" style="51" customWidth="1"/>
    <col min="5890" max="5890" width="28.6640625" style="51" customWidth="1"/>
    <col min="5891" max="5891" width="32.109375" style="51" customWidth="1"/>
    <col min="5892" max="5892" width="4" style="51" customWidth="1"/>
    <col min="5893" max="5894" width="17.44140625" style="51" bestFit="1" customWidth="1"/>
    <col min="5895" max="5895" width="19.109375" style="51" customWidth="1"/>
    <col min="5896" max="6142" width="9.109375" style="51" customWidth="1"/>
    <col min="6143" max="6144" width="0" style="51" hidden="1"/>
    <col min="6145" max="6145" width="34.109375" style="51" customWidth="1"/>
    <col min="6146" max="6146" width="28.6640625" style="51" customWidth="1"/>
    <col min="6147" max="6147" width="32.109375" style="51" customWidth="1"/>
    <col min="6148" max="6148" width="4" style="51" customWidth="1"/>
    <col min="6149" max="6150" width="17.44140625" style="51" bestFit="1" customWidth="1"/>
    <col min="6151" max="6151" width="19.109375" style="51" customWidth="1"/>
    <col min="6152" max="6398" width="9.109375" style="51" customWidth="1"/>
    <col min="6399" max="6400" width="0" style="51" hidden="1"/>
    <col min="6401" max="6401" width="34.109375" style="51" customWidth="1"/>
    <col min="6402" max="6402" width="28.6640625" style="51" customWidth="1"/>
    <col min="6403" max="6403" width="32.109375" style="51" customWidth="1"/>
    <col min="6404" max="6404" width="4" style="51" customWidth="1"/>
    <col min="6405" max="6406" width="17.44140625" style="51" bestFit="1" customWidth="1"/>
    <col min="6407" max="6407" width="19.109375" style="51" customWidth="1"/>
    <col min="6408" max="6654" width="9.109375" style="51" customWidth="1"/>
    <col min="6655" max="6656" width="0" style="51" hidden="1"/>
    <col min="6657" max="6657" width="34.109375" style="51" customWidth="1"/>
    <col min="6658" max="6658" width="28.6640625" style="51" customWidth="1"/>
    <col min="6659" max="6659" width="32.109375" style="51" customWidth="1"/>
    <col min="6660" max="6660" width="4" style="51" customWidth="1"/>
    <col min="6661" max="6662" width="17.44140625" style="51" bestFit="1" customWidth="1"/>
    <col min="6663" max="6663" width="19.109375" style="51" customWidth="1"/>
    <col min="6664" max="6910" width="9.109375" style="51" customWidth="1"/>
    <col min="6911" max="6912" width="0" style="51" hidden="1"/>
    <col min="6913" max="6913" width="34.109375" style="51" customWidth="1"/>
    <col min="6914" max="6914" width="28.6640625" style="51" customWidth="1"/>
    <col min="6915" max="6915" width="32.109375" style="51" customWidth="1"/>
    <col min="6916" max="6916" width="4" style="51" customWidth="1"/>
    <col min="6917" max="6918" width="17.44140625" style="51" bestFit="1" customWidth="1"/>
    <col min="6919" max="6919" width="19.109375" style="51" customWidth="1"/>
    <col min="6920" max="7166" width="9.109375" style="51" customWidth="1"/>
    <col min="7167" max="7168" width="0" style="51" hidden="1"/>
    <col min="7169" max="7169" width="34.109375" style="51" customWidth="1"/>
    <col min="7170" max="7170" width="28.6640625" style="51" customWidth="1"/>
    <col min="7171" max="7171" width="32.109375" style="51" customWidth="1"/>
    <col min="7172" max="7172" width="4" style="51" customWidth="1"/>
    <col min="7173" max="7174" width="17.44140625" style="51" bestFit="1" customWidth="1"/>
    <col min="7175" max="7175" width="19.109375" style="51" customWidth="1"/>
    <col min="7176" max="7422" width="9.109375" style="51" customWidth="1"/>
    <col min="7423" max="7424" width="0" style="51" hidden="1"/>
    <col min="7425" max="7425" width="34.109375" style="51" customWidth="1"/>
    <col min="7426" max="7426" width="28.6640625" style="51" customWidth="1"/>
    <col min="7427" max="7427" width="32.109375" style="51" customWidth="1"/>
    <col min="7428" max="7428" width="4" style="51" customWidth="1"/>
    <col min="7429" max="7430" width="17.44140625" style="51" bestFit="1" customWidth="1"/>
    <col min="7431" max="7431" width="19.109375" style="51" customWidth="1"/>
    <col min="7432" max="7678" width="9.109375" style="51" customWidth="1"/>
    <col min="7679" max="7680" width="0" style="51" hidden="1"/>
    <col min="7681" max="7681" width="34.109375" style="51" customWidth="1"/>
    <col min="7682" max="7682" width="28.6640625" style="51" customWidth="1"/>
    <col min="7683" max="7683" width="32.109375" style="51" customWidth="1"/>
    <col min="7684" max="7684" width="4" style="51" customWidth="1"/>
    <col min="7685" max="7686" width="17.44140625" style="51" bestFit="1" customWidth="1"/>
    <col min="7687" max="7687" width="19.109375" style="51" customWidth="1"/>
    <col min="7688" max="7934" width="9.109375" style="51" customWidth="1"/>
    <col min="7935" max="7936" width="0" style="51" hidden="1"/>
    <col min="7937" max="7937" width="34.109375" style="51" customWidth="1"/>
    <col min="7938" max="7938" width="28.6640625" style="51" customWidth="1"/>
    <col min="7939" max="7939" width="32.109375" style="51" customWidth="1"/>
    <col min="7940" max="7940" width="4" style="51" customWidth="1"/>
    <col min="7941" max="7942" width="17.44140625" style="51" bestFit="1" customWidth="1"/>
    <col min="7943" max="7943" width="19.109375" style="51" customWidth="1"/>
    <col min="7944" max="8190" width="9.109375" style="51" customWidth="1"/>
    <col min="8191" max="8192" width="0" style="51" hidden="1"/>
    <col min="8193" max="8193" width="34.109375" style="51" customWidth="1"/>
    <col min="8194" max="8194" width="28.6640625" style="51" customWidth="1"/>
    <col min="8195" max="8195" width="32.109375" style="51" customWidth="1"/>
    <col min="8196" max="8196" width="4" style="51" customWidth="1"/>
    <col min="8197" max="8198" width="17.44140625" style="51" bestFit="1" customWidth="1"/>
    <col min="8199" max="8199" width="19.109375" style="51" customWidth="1"/>
    <col min="8200" max="8446" width="9.109375" style="51" customWidth="1"/>
    <col min="8447" max="8448" width="0" style="51" hidden="1"/>
    <col min="8449" max="8449" width="34.109375" style="51" customWidth="1"/>
    <col min="8450" max="8450" width="28.6640625" style="51" customWidth="1"/>
    <col min="8451" max="8451" width="32.109375" style="51" customWidth="1"/>
    <col min="8452" max="8452" width="4" style="51" customWidth="1"/>
    <col min="8453" max="8454" width="17.44140625" style="51" bestFit="1" customWidth="1"/>
    <col min="8455" max="8455" width="19.109375" style="51" customWidth="1"/>
    <col min="8456" max="8702" width="9.109375" style="51" customWidth="1"/>
    <col min="8703" max="8704" width="0" style="51" hidden="1"/>
    <col min="8705" max="8705" width="34.109375" style="51" customWidth="1"/>
    <col min="8706" max="8706" width="28.6640625" style="51" customWidth="1"/>
    <col min="8707" max="8707" width="32.109375" style="51" customWidth="1"/>
    <col min="8708" max="8708" width="4" style="51" customWidth="1"/>
    <col min="8709" max="8710" width="17.44140625" style="51" bestFit="1" customWidth="1"/>
    <col min="8711" max="8711" width="19.109375" style="51" customWidth="1"/>
    <col min="8712" max="8958" width="9.109375" style="51" customWidth="1"/>
    <col min="8959" max="8960" width="0" style="51" hidden="1"/>
    <col min="8961" max="8961" width="34.109375" style="51" customWidth="1"/>
    <col min="8962" max="8962" width="28.6640625" style="51" customWidth="1"/>
    <col min="8963" max="8963" width="32.109375" style="51" customWidth="1"/>
    <col min="8964" max="8964" width="4" style="51" customWidth="1"/>
    <col min="8965" max="8966" width="17.44140625" style="51" bestFit="1" customWidth="1"/>
    <col min="8967" max="8967" width="19.109375" style="51" customWidth="1"/>
    <col min="8968" max="9214" width="9.109375" style="51" customWidth="1"/>
    <col min="9215" max="9216" width="0" style="51" hidden="1"/>
    <col min="9217" max="9217" width="34.109375" style="51" customWidth="1"/>
    <col min="9218" max="9218" width="28.6640625" style="51" customWidth="1"/>
    <col min="9219" max="9219" width="32.109375" style="51" customWidth="1"/>
    <col min="9220" max="9220" width="4" style="51" customWidth="1"/>
    <col min="9221" max="9222" width="17.44140625" style="51" bestFit="1" customWidth="1"/>
    <col min="9223" max="9223" width="19.109375" style="51" customWidth="1"/>
    <col min="9224" max="9470" width="9.109375" style="51" customWidth="1"/>
    <col min="9471" max="9472" width="0" style="51" hidden="1"/>
    <col min="9473" max="9473" width="34.109375" style="51" customWidth="1"/>
    <col min="9474" max="9474" width="28.6640625" style="51" customWidth="1"/>
    <col min="9475" max="9475" width="32.109375" style="51" customWidth="1"/>
    <col min="9476" max="9476" width="4" style="51" customWidth="1"/>
    <col min="9477" max="9478" width="17.44140625" style="51" bestFit="1" customWidth="1"/>
    <col min="9479" max="9479" width="19.109375" style="51" customWidth="1"/>
    <col min="9480" max="9726" width="9.109375" style="51" customWidth="1"/>
    <col min="9727" max="9728" width="0" style="51" hidden="1"/>
    <col min="9729" max="9729" width="34.109375" style="51" customWidth="1"/>
    <col min="9730" max="9730" width="28.6640625" style="51" customWidth="1"/>
    <col min="9731" max="9731" width="32.109375" style="51" customWidth="1"/>
    <col min="9732" max="9732" width="4" style="51" customWidth="1"/>
    <col min="9733" max="9734" width="17.44140625" style="51" bestFit="1" customWidth="1"/>
    <col min="9735" max="9735" width="19.109375" style="51" customWidth="1"/>
    <col min="9736" max="9982" width="9.109375" style="51" customWidth="1"/>
    <col min="9983" max="9984" width="0" style="51" hidden="1"/>
    <col min="9985" max="9985" width="34.109375" style="51" customWidth="1"/>
    <col min="9986" max="9986" width="28.6640625" style="51" customWidth="1"/>
    <col min="9987" max="9987" width="32.109375" style="51" customWidth="1"/>
    <col min="9988" max="9988" width="4" style="51" customWidth="1"/>
    <col min="9989" max="9990" width="17.44140625" style="51" bestFit="1" customWidth="1"/>
    <col min="9991" max="9991" width="19.109375" style="51" customWidth="1"/>
    <col min="9992" max="10238" width="9.109375" style="51" customWidth="1"/>
    <col min="10239" max="10240" width="0" style="51" hidden="1"/>
    <col min="10241" max="10241" width="34.109375" style="51" customWidth="1"/>
    <col min="10242" max="10242" width="28.6640625" style="51" customWidth="1"/>
    <col min="10243" max="10243" width="32.109375" style="51" customWidth="1"/>
    <col min="10244" max="10244" width="4" style="51" customWidth="1"/>
    <col min="10245" max="10246" width="17.44140625" style="51" bestFit="1" customWidth="1"/>
    <col min="10247" max="10247" width="19.109375" style="51" customWidth="1"/>
    <col min="10248" max="10494" width="9.109375" style="51" customWidth="1"/>
    <col min="10495" max="10496" width="0" style="51" hidden="1"/>
    <col min="10497" max="10497" width="34.109375" style="51" customWidth="1"/>
    <col min="10498" max="10498" width="28.6640625" style="51" customWidth="1"/>
    <col min="10499" max="10499" width="32.109375" style="51" customWidth="1"/>
    <col min="10500" max="10500" width="4" style="51" customWidth="1"/>
    <col min="10501" max="10502" width="17.44140625" style="51" bestFit="1" customWidth="1"/>
    <col min="10503" max="10503" width="19.109375" style="51" customWidth="1"/>
    <col min="10504" max="10750" width="9.109375" style="51" customWidth="1"/>
    <col min="10751" max="10752" width="0" style="51" hidden="1"/>
    <col min="10753" max="10753" width="34.109375" style="51" customWidth="1"/>
    <col min="10754" max="10754" width="28.6640625" style="51" customWidth="1"/>
    <col min="10755" max="10755" width="32.109375" style="51" customWidth="1"/>
    <col min="10756" max="10756" width="4" style="51" customWidth="1"/>
    <col min="10757" max="10758" width="17.44140625" style="51" bestFit="1" customWidth="1"/>
    <col min="10759" max="10759" width="19.109375" style="51" customWidth="1"/>
    <col min="10760" max="11006" width="9.109375" style="51" customWidth="1"/>
    <col min="11007" max="11008" width="0" style="51" hidden="1"/>
    <col min="11009" max="11009" width="34.109375" style="51" customWidth="1"/>
    <col min="11010" max="11010" width="28.6640625" style="51" customWidth="1"/>
    <col min="11011" max="11011" width="32.109375" style="51" customWidth="1"/>
    <col min="11012" max="11012" width="4" style="51" customWidth="1"/>
    <col min="11013" max="11014" width="17.44140625" style="51" bestFit="1" customWidth="1"/>
    <col min="11015" max="11015" width="19.109375" style="51" customWidth="1"/>
    <col min="11016" max="11262" width="9.109375" style="51" customWidth="1"/>
    <col min="11263" max="11264" width="0" style="51" hidden="1"/>
    <col min="11265" max="11265" width="34.109375" style="51" customWidth="1"/>
    <col min="11266" max="11266" width="28.6640625" style="51" customWidth="1"/>
    <col min="11267" max="11267" width="32.109375" style="51" customWidth="1"/>
    <col min="11268" max="11268" width="4" style="51" customWidth="1"/>
    <col min="11269" max="11270" width="17.44140625" style="51" bestFit="1" customWidth="1"/>
    <col min="11271" max="11271" width="19.109375" style="51" customWidth="1"/>
    <col min="11272" max="11518" width="9.109375" style="51" customWidth="1"/>
    <col min="11519" max="11520" width="0" style="51" hidden="1"/>
    <col min="11521" max="11521" width="34.109375" style="51" customWidth="1"/>
    <col min="11522" max="11522" width="28.6640625" style="51" customWidth="1"/>
    <col min="11523" max="11523" width="32.109375" style="51" customWidth="1"/>
    <col min="11524" max="11524" width="4" style="51" customWidth="1"/>
    <col min="11525" max="11526" width="17.44140625" style="51" bestFit="1" customWidth="1"/>
    <col min="11527" max="11527" width="19.109375" style="51" customWidth="1"/>
    <col min="11528" max="11774" width="9.109375" style="51" customWidth="1"/>
    <col min="11775" max="11776" width="0" style="51" hidden="1"/>
    <col min="11777" max="11777" width="34.109375" style="51" customWidth="1"/>
    <col min="11778" max="11778" width="28.6640625" style="51" customWidth="1"/>
    <col min="11779" max="11779" width="32.109375" style="51" customWidth="1"/>
    <col min="11780" max="11780" width="4" style="51" customWidth="1"/>
    <col min="11781" max="11782" width="17.44140625" style="51" bestFit="1" customWidth="1"/>
    <col min="11783" max="11783" width="19.109375" style="51" customWidth="1"/>
    <col min="11784" max="12030" width="9.109375" style="51" customWidth="1"/>
    <col min="12031" max="12032" width="0" style="51" hidden="1"/>
    <col min="12033" max="12033" width="34.109375" style="51" customWidth="1"/>
    <col min="12034" max="12034" width="28.6640625" style="51" customWidth="1"/>
    <col min="12035" max="12035" width="32.109375" style="51" customWidth="1"/>
    <col min="12036" max="12036" width="4" style="51" customWidth="1"/>
    <col min="12037" max="12038" width="17.44140625" style="51" bestFit="1" customWidth="1"/>
    <col min="12039" max="12039" width="19.109375" style="51" customWidth="1"/>
    <col min="12040" max="12286" width="9.109375" style="51" customWidth="1"/>
    <col min="12287" max="12288" width="0" style="51" hidden="1"/>
    <col min="12289" max="12289" width="34.109375" style="51" customWidth="1"/>
    <col min="12290" max="12290" width="28.6640625" style="51" customWidth="1"/>
    <col min="12291" max="12291" width="32.109375" style="51" customWidth="1"/>
    <col min="12292" max="12292" width="4" style="51" customWidth="1"/>
    <col min="12293" max="12294" width="17.44140625" style="51" bestFit="1" customWidth="1"/>
    <col min="12295" max="12295" width="19.109375" style="51" customWidth="1"/>
    <col min="12296" max="12542" width="9.109375" style="51" customWidth="1"/>
    <col min="12543" max="12544" width="0" style="51" hidden="1"/>
    <col min="12545" max="12545" width="34.109375" style="51" customWidth="1"/>
    <col min="12546" max="12546" width="28.6640625" style="51" customWidth="1"/>
    <col min="12547" max="12547" width="32.109375" style="51" customWidth="1"/>
    <col min="12548" max="12548" width="4" style="51" customWidth="1"/>
    <col min="12549" max="12550" width="17.44140625" style="51" bestFit="1" customWidth="1"/>
    <col min="12551" max="12551" width="19.109375" style="51" customWidth="1"/>
    <col min="12552" max="12798" width="9.109375" style="51" customWidth="1"/>
    <col min="12799" max="12800" width="0" style="51" hidden="1"/>
    <col min="12801" max="12801" width="34.109375" style="51" customWidth="1"/>
    <col min="12802" max="12802" width="28.6640625" style="51" customWidth="1"/>
    <col min="12803" max="12803" width="32.109375" style="51" customWidth="1"/>
    <col min="12804" max="12804" width="4" style="51" customWidth="1"/>
    <col min="12805" max="12806" width="17.44140625" style="51" bestFit="1" customWidth="1"/>
    <col min="12807" max="12807" width="19.109375" style="51" customWidth="1"/>
    <col min="12808" max="13054" width="9.109375" style="51" customWidth="1"/>
    <col min="13055" max="13056" width="0" style="51" hidden="1"/>
    <col min="13057" max="13057" width="34.109375" style="51" customWidth="1"/>
    <col min="13058" max="13058" width="28.6640625" style="51" customWidth="1"/>
    <col min="13059" max="13059" width="32.109375" style="51" customWidth="1"/>
    <col min="13060" max="13060" width="4" style="51" customWidth="1"/>
    <col min="13061" max="13062" width="17.44140625" style="51" bestFit="1" customWidth="1"/>
    <col min="13063" max="13063" width="19.109375" style="51" customWidth="1"/>
    <col min="13064" max="13310" width="9.109375" style="51" customWidth="1"/>
    <col min="13311" max="13312" width="0" style="51" hidden="1"/>
    <col min="13313" max="13313" width="34.109375" style="51" customWidth="1"/>
    <col min="13314" max="13314" width="28.6640625" style="51" customWidth="1"/>
    <col min="13315" max="13315" width="32.109375" style="51" customWidth="1"/>
    <col min="13316" max="13316" width="4" style="51" customWidth="1"/>
    <col min="13317" max="13318" width="17.44140625" style="51" bestFit="1" customWidth="1"/>
    <col min="13319" max="13319" width="19.109375" style="51" customWidth="1"/>
    <col min="13320" max="13566" width="9.109375" style="51" customWidth="1"/>
    <col min="13567" max="13568" width="0" style="51" hidden="1"/>
    <col min="13569" max="13569" width="34.109375" style="51" customWidth="1"/>
    <col min="13570" max="13570" width="28.6640625" style="51" customWidth="1"/>
    <col min="13571" max="13571" width="32.109375" style="51" customWidth="1"/>
    <col min="13572" max="13572" width="4" style="51" customWidth="1"/>
    <col min="13573" max="13574" width="17.44140625" style="51" bestFit="1" customWidth="1"/>
    <col min="13575" max="13575" width="19.109375" style="51" customWidth="1"/>
    <col min="13576" max="13822" width="9.109375" style="51" customWidth="1"/>
    <col min="13823" max="13824" width="0" style="51" hidden="1"/>
    <col min="13825" max="13825" width="34.109375" style="51" customWidth="1"/>
    <col min="13826" max="13826" width="28.6640625" style="51" customWidth="1"/>
    <col min="13827" max="13827" width="32.109375" style="51" customWidth="1"/>
    <col min="13828" max="13828" width="4" style="51" customWidth="1"/>
    <col min="13829" max="13830" width="17.44140625" style="51" bestFit="1" customWidth="1"/>
    <col min="13831" max="13831" width="19.109375" style="51" customWidth="1"/>
    <col min="13832" max="14078" width="9.109375" style="51" customWidth="1"/>
    <col min="14079" max="14080" width="0" style="51" hidden="1"/>
    <col min="14081" max="14081" width="34.109375" style="51" customWidth="1"/>
    <col min="14082" max="14082" width="28.6640625" style="51" customWidth="1"/>
    <col min="14083" max="14083" width="32.109375" style="51" customWidth="1"/>
    <col min="14084" max="14084" width="4" style="51" customWidth="1"/>
    <col min="14085" max="14086" width="17.44140625" style="51" bestFit="1" customWidth="1"/>
    <col min="14087" max="14087" width="19.109375" style="51" customWidth="1"/>
    <col min="14088" max="14334" width="9.109375" style="51" customWidth="1"/>
    <col min="14335" max="14336" width="0" style="51" hidden="1"/>
    <col min="14337" max="14337" width="34.109375" style="51" customWidth="1"/>
    <col min="14338" max="14338" width="28.6640625" style="51" customWidth="1"/>
    <col min="14339" max="14339" width="32.109375" style="51" customWidth="1"/>
    <col min="14340" max="14340" width="4" style="51" customWidth="1"/>
    <col min="14341" max="14342" width="17.44140625" style="51" bestFit="1" customWidth="1"/>
    <col min="14343" max="14343" width="19.109375" style="51" customWidth="1"/>
    <col min="14344" max="14590" width="9.109375" style="51" customWidth="1"/>
    <col min="14591" max="14592" width="0" style="51" hidden="1"/>
    <col min="14593" max="14593" width="34.109375" style="51" customWidth="1"/>
    <col min="14594" max="14594" width="28.6640625" style="51" customWidth="1"/>
    <col min="14595" max="14595" width="32.109375" style="51" customWidth="1"/>
    <col min="14596" max="14596" width="4" style="51" customWidth="1"/>
    <col min="14597" max="14598" width="17.44140625" style="51" bestFit="1" customWidth="1"/>
    <col min="14599" max="14599" width="19.109375" style="51" customWidth="1"/>
    <col min="14600" max="14846" width="9.109375" style="51" customWidth="1"/>
    <col min="14847" max="14848" width="0" style="51" hidden="1"/>
    <col min="14849" max="14849" width="34.109375" style="51" customWidth="1"/>
    <col min="14850" max="14850" width="28.6640625" style="51" customWidth="1"/>
    <col min="14851" max="14851" width="32.109375" style="51" customWidth="1"/>
    <col min="14852" max="14852" width="4" style="51" customWidth="1"/>
    <col min="14853" max="14854" width="17.44140625" style="51" bestFit="1" customWidth="1"/>
    <col min="14855" max="14855" width="19.109375" style="51" customWidth="1"/>
    <col min="14856" max="15102" width="9.109375" style="51" customWidth="1"/>
    <col min="15103" max="15104" width="0" style="51" hidden="1"/>
    <col min="15105" max="15105" width="34.109375" style="51" customWidth="1"/>
    <col min="15106" max="15106" width="28.6640625" style="51" customWidth="1"/>
    <col min="15107" max="15107" width="32.109375" style="51" customWidth="1"/>
    <col min="15108" max="15108" width="4" style="51" customWidth="1"/>
    <col min="15109" max="15110" width="17.44140625" style="51" bestFit="1" customWidth="1"/>
    <col min="15111" max="15111" width="19.109375" style="51" customWidth="1"/>
    <col min="15112" max="15358" width="9.109375" style="51" customWidth="1"/>
    <col min="15359" max="15360" width="0" style="51" hidden="1"/>
    <col min="15361" max="15361" width="34.109375" style="51" customWidth="1"/>
    <col min="15362" max="15362" width="28.6640625" style="51" customWidth="1"/>
    <col min="15363" max="15363" width="32.109375" style="51" customWidth="1"/>
    <col min="15364" max="15364" width="4" style="51" customWidth="1"/>
    <col min="15365" max="15366" width="17.44140625" style="51" bestFit="1" customWidth="1"/>
    <col min="15367" max="15367" width="19.109375" style="51" customWidth="1"/>
    <col min="15368" max="15614" width="9.109375" style="51" customWidth="1"/>
    <col min="15615" max="15616" width="0" style="51" hidden="1"/>
    <col min="15617" max="15617" width="34.109375" style="51" customWidth="1"/>
    <col min="15618" max="15618" width="28.6640625" style="51" customWidth="1"/>
    <col min="15619" max="15619" width="32.109375" style="51" customWidth="1"/>
    <col min="15620" max="15620" width="4" style="51" customWidth="1"/>
    <col min="15621" max="15622" width="17.44140625" style="51" bestFit="1" customWidth="1"/>
    <col min="15623" max="15623" width="19.109375" style="51" customWidth="1"/>
    <col min="15624" max="15870" width="9.109375" style="51" customWidth="1"/>
    <col min="15871" max="15872" width="0" style="51" hidden="1"/>
    <col min="15873" max="15873" width="34.109375" style="51" customWidth="1"/>
    <col min="15874" max="15874" width="28.6640625" style="51" customWidth="1"/>
    <col min="15875" max="15875" width="32.109375" style="51" customWidth="1"/>
    <col min="15876" max="15876" width="4" style="51" customWidth="1"/>
    <col min="15877" max="15878" width="17.44140625" style="51" bestFit="1" customWidth="1"/>
    <col min="15879" max="15879" width="19.109375" style="51" customWidth="1"/>
    <col min="15880" max="16126" width="9.109375" style="51" customWidth="1"/>
    <col min="16127" max="16128" width="0" style="51" hidden="1"/>
    <col min="16129" max="16129" width="34.109375" style="51" customWidth="1"/>
    <col min="16130" max="16130" width="28.6640625" style="51" customWidth="1"/>
    <col min="16131" max="16131" width="32.109375" style="51" customWidth="1"/>
    <col min="16132" max="16132" width="4" style="51" customWidth="1"/>
    <col min="16133" max="16134" width="17.44140625" style="51" bestFit="1" customWidth="1"/>
    <col min="16135" max="16135" width="19.109375" style="51" customWidth="1"/>
    <col min="16136" max="16382" width="9.109375" style="51" customWidth="1"/>
    <col min="16383" max="16384" width="0" style="51" hidden="1"/>
  </cols>
  <sheetData>
    <row r="1" spans="1:10" s="31" customFormat="1" ht="16.2" thickTop="1">
      <c r="A1" s="161" t="s">
        <v>63</v>
      </c>
      <c r="B1" s="162"/>
      <c r="C1" s="162"/>
      <c r="D1" s="162"/>
      <c r="E1" s="162"/>
      <c r="F1" s="162"/>
      <c r="G1" s="162"/>
      <c r="H1" s="162"/>
      <c r="I1" s="162"/>
      <c r="J1" s="163"/>
    </row>
    <row r="2" spans="1:10" s="31" customFormat="1" ht="15.6">
      <c r="A2" s="164"/>
      <c r="B2" s="165"/>
      <c r="C2" s="165"/>
      <c r="D2" s="165"/>
      <c r="E2" s="165"/>
      <c r="F2" s="165"/>
      <c r="G2" s="165"/>
      <c r="H2" s="165"/>
      <c r="I2" s="165"/>
      <c r="J2" s="166"/>
    </row>
    <row r="3" spans="1:10" s="31" customFormat="1" ht="15.6">
      <c r="A3" s="164"/>
      <c r="B3" s="165"/>
      <c r="C3" s="165"/>
      <c r="D3" s="165"/>
      <c r="E3" s="165"/>
      <c r="F3" s="165"/>
      <c r="G3" s="165"/>
      <c r="H3" s="165"/>
      <c r="I3" s="165"/>
      <c r="J3" s="166"/>
    </row>
    <row r="4" spans="1:10" s="31" customFormat="1" ht="15.6">
      <c r="A4" s="164"/>
      <c r="B4" s="165"/>
      <c r="C4" s="165"/>
      <c r="D4" s="165"/>
      <c r="E4" s="165"/>
      <c r="F4" s="165"/>
      <c r="G4" s="165"/>
      <c r="H4" s="165"/>
      <c r="I4" s="165"/>
      <c r="J4" s="166"/>
    </row>
    <row r="5" spans="1:10" s="31" customFormat="1" ht="15.6">
      <c r="A5" s="164"/>
      <c r="B5" s="165"/>
      <c r="C5" s="165"/>
      <c r="D5" s="165"/>
      <c r="E5" s="165"/>
      <c r="F5" s="165"/>
      <c r="G5" s="165"/>
      <c r="H5" s="165"/>
      <c r="I5" s="165"/>
      <c r="J5" s="166"/>
    </row>
    <row r="6" spans="1:10" s="31" customFormat="1" ht="15.6">
      <c r="A6" s="32"/>
      <c r="B6" s="33"/>
      <c r="C6" s="33"/>
      <c r="D6" s="33"/>
      <c r="E6" s="33"/>
      <c r="F6" s="33"/>
      <c r="G6" s="33"/>
      <c r="H6" s="33"/>
      <c r="I6" s="33"/>
      <c r="J6" s="34"/>
    </row>
    <row r="7" spans="1:10" s="31" customFormat="1" ht="16.2" thickBot="1">
      <c r="A7" s="35"/>
      <c r="B7" s="36"/>
      <c r="C7" s="36"/>
      <c r="D7" s="36"/>
      <c r="E7" s="36"/>
      <c r="F7" s="36"/>
      <c r="G7" s="36"/>
      <c r="H7" s="36"/>
      <c r="I7" s="36"/>
      <c r="J7" s="37"/>
    </row>
    <row r="8" spans="1:10" s="31" customFormat="1" ht="16.2" thickTop="1">
      <c r="A8" s="38"/>
      <c r="B8" s="39"/>
      <c r="C8" s="39"/>
      <c r="D8" s="39"/>
      <c r="E8" s="39"/>
      <c r="F8" s="39"/>
      <c r="G8" s="39"/>
      <c r="H8" s="39"/>
      <c r="I8" s="39"/>
      <c r="J8" s="40"/>
    </row>
    <row r="9" spans="1:10" s="31" customFormat="1" ht="15.6">
      <c r="A9" s="167" t="s">
        <v>64</v>
      </c>
      <c r="B9" s="168"/>
      <c r="C9" s="168"/>
      <c r="D9" s="168"/>
      <c r="E9" s="168"/>
      <c r="F9" s="168"/>
      <c r="G9" s="168"/>
      <c r="H9" s="168"/>
      <c r="I9" s="168"/>
      <c r="J9" s="169"/>
    </row>
    <row r="10" spans="1:10" s="31" customFormat="1" ht="25.5" customHeight="1">
      <c r="A10" s="170" t="s">
        <v>121</v>
      </c>
      <c r="B10" s="171"/>
      <c r="C10" s="171"/>
      <c r="D10" s="171"/>
      <c r="E10" s="171"/>
      <c r="F10" s="171"/>
      <c r="G10" s="171"/>
      <c r="H10" s="171"/>
      <c r="I10" s="171"/>
      <c r="J10" s="172"/>
    </row>
    <row r="11" spans="1:10" s="31" customFormat="1" ht="27.75" customHeight="1">
      <c r="A11" s="170"/>
      <c r="B11" s="171"/>
      <c r="C11" s="171"/>
      <c r="D11" s="171"/>
      <c r="E11" s="171"/>
      <c r="F11" s="171"/>
      <c r="G11" s="171"/>
      <c r="H11" s="171"/>
      <c r="I11" s="171"/>
      <c r="J11" s="172"/>
    </row>
    <row r="12" spans="1:10" s="31" customFormat="1" ht="16.2" thickBot="1">
      <c r="A12" s="41"/>
      <c r="B12" s="42"/>
      <c r="C12" s="42"/>
      <c r="D12" s="42"/>
      <c r="E12" s="42"/>
      <c r="F12" s="42"/>
      <c r="G12" s="42"/>
      <c r="H12" s="42"/>
      <c r="I12" s="42"/>
      <c r="J12" s="43"/>
    </row>
    <row r="13" spans="1:10" s="31" customFormat="1" ht="16.2" thickTop="1">
      <c r="A13" s="44"/>
      <c r="B13" s="45"/>
      <c r="C13" s="45"/>
      <c r="D13" s="45"/>
      <c r="E13" s="45"/>
      <c r="F13" s="45"/>
      <c r="G13" s="45"/>
      <c r="H13" s="45"/>
      <c r="I13" s="45"/>
      <c r="J13" s="46"/>
    </row>
    <row r="14" spans="1:10" s="31" customFormat="1" ht="15.6">
      <c r="A14" s="167" t="s">
        <v>65</v>
      </c>
      <c r="B14" s="168"/>
      <c r="C14" s="168"/>
      <c r="D14" s="168"/>
      <c r="E14" s="168"/>
      <c r="F14" s="168"/>
      <c r="G14" s="168"/>
      <c r="H14" s="168"/>
      <c r="I14" s="168"/>
      <c r="J14" s="169"/>
    </row>
    <row r="15" spans="1:10" s="31" customFormat="1" ht="25.8">
      <c r="A15" s="158" t="s">
        <v>122</v>
      </c>
      <c r="B15" s="159"/>
      <c r="C15" s="159"/>
      <c r="D15" s="159"/>
      <c r="E15" s="159"/>
      <c r="F15" s="159"/>
      <c r="G15" s="159"/>
      <c r="H15" s="159"/>
      <c r="I15" s="159"/>
      <c r="J15" s="160"/>
    </row>
    <row r="16" spans="1:10" s="47" customFormat="1" ht="15.6">
      <c r="A16" s="167" t="s">
        <v>67</v>
      </c>
      <c r="B16" s="168"/>
      <c r="C16" s="168"/>
      <c r="D16" s="168"/>
      <c r="E16" s="168"/>
      <c r="F16" s="168"/>
      <c r="G16" s="168"/>
      <c r="H16" s="168"/>
      <c r="I16" s="168"/>
      <c r="J16" s="169"/>
    </row>
    <row r="17" spans="1:10" s="31" customFormat="1" ht="25.8">
      <c r="A17" s="158" t="s">
        <v>53</v>
      </c>
      <c r="B17" s="159"/>
      <c r="C17" s="159"/>
      <c r="D17" s="159"/>
      <c r="E17" s="159"/>
      <c r="F17" s="159"/>
      <c r="G17" s="159"/>
      <c r="H17" s="159"/>
      <c r="I17" s="159"/>
      <c r="J17" s="160"/>
    </row>
    <row r="18" spans="1:10" s="31" customFormat="1" ht="16.2" thickBot="1">
      <c r="A18" s="48"/>
      <c r="B18" s="49"/>
      <c r="C18" s="49"/>
      <c r="D18" s="49"/>
      <c r="E18" s="49"/>
      <c r="F18" s="49"/>
      <c r="G18" s="49"/>
      <c r="H18" s="49"/>
      <c r="I18" s="49"/>
      <c r="J18" s="50"/>
    </row>
    <row r="19" spans="1:10" s="31" customFormat="1" ht="16.2" thickTop="1">
      <c r="A19" s="146"/>
      <c r="B19" s="147"/>
      <c r="C19" s="147"/>
      <c r="D19" s="147"/>
      <c r="E19" s="147"/>
      <c r="F19" s="147"/>
      <c r="G19" s="147"/>
      <c r="H19" s="147"/>
      <c r="I19" s="147"/>
      <c r="J19" s="147"/>
    </row>
    <row r="20" spans="1:10" s="31" customFormat="1" ht="15.6">
      <c r="A20" s="148"/>
      <c r="B20" s="149"/>
      <c r="C20" s="149"/>
      <c r="D20" s="149"/>
      <c r="E20" s="149"/>
      <c r="F20" s="149"/>
      <c r="G20" s="149"/>
      <c r="H20" s="149"/>
      <c r="I20" s="149"/>
      <c r="J20" s="149"/>
    </row>
    <row r="21" spans="1:10" s="31" customFormat="1" ht="15.6">
      <c r="A21" s="148"/>
      <c r="B21" s="149"/>
      <c r="C21" s="149"/>
      <c r="D21" s="149"/>
      <c r="E21" s="149"/>
      <c r="F21" s="149"/>
      <c r="G21" s="149"/>
      <c r="H21" s="149"/>
      <c r="I21" s="149"/>
      <c r="J21" s="149"/>
    </row>
    <row r="22" spans="1:10" s="31" customFormat="1" ht="15.6">
      <c r="A22" s="148"/>
      <c r="B22" s="149"/>
      <c r="C22" s="149"/>
      <c r="D22" s="149"/>
      <c r="E22" s="149"/>
      <c r="F22" s="149"/>
      <c r="G22" s="149"/>
      <c r="H22" s="149"/>
      <c r="I22" s="149"/>
      <c r="J22" s="149"/>
    </row>
    <row r="23" spans="1:10" s="31" customFormat="1" ht="15.6">
      <c r="A23" s="148"/>
      <c r="B23" s="149"/>
      <c r="C23" s="149"/>
      <c r="D23" s="149"/>
      <c r="E23" s="149"/>
      <c r="F23" s="149"/>
      <c r="G23" s="149"/>
      <c r="H23" s="149"/>
      <c r="I23" s="149"/>
      <c r="J23" s="149"/>
    </row>
    <row r="24" spans="1:10" s="31" customFormat="1" ht="15.6">
      <c r="A24" s="148"/>
      <c r="B24" s="149"/>
      <c r="C24" s="149"/>
      <c r="D24" s="149"/>
      <c r="E24" s="149"/>
      <c r="F24" s="149"/>
      <c r="G24" s="149"/>
      <c r="H24" s="149"/>
      <c r="I24" s="149"/>
      <c r="J24" s="149"/>
    </row>
    <row r="25" spans="1:10" s="31" customFormat="1" ht="15.6">
      <c r="A25" s="148"/>
      <c r="B25" s="149"/>
      <c r="C25" s="149"/>
      <c r="D25" s="149"/>
      <c r="E25" s="149"/>
      <c r="F25" s="149"/>
      <c r="G25" s="149"/>
      <c r="H25" s="149"/>
      <c r="I25" s="149"/>
      <c r="J25" s="149"/>
    </row>
    <row r="26" spans="1:10" s="31" customFormat="1" ht="23.25" customHeight="1">
      <c r="A26" s="148"/>
      <c r="B26" s="149"/>
      <c r="C26" s="149"/>
      <c r="D26" s="149"/>
      <c r="E26" s="149"/>
      <c r="F26" s="149"/>
      <c r="G26" s="149"/>
      <c r="H26" s="149"/>
      <c r="I26" s="149"/>
      <c r="J26" s="149"/>
    </row>
    <row r="27" spans="1:10" s="31" customFormat="1" ht="23.25" customHeight="1">
      <c r="A27" s="148"/>
      <c r="B27" s="149"/>
      <c r="C27" s="149"/>
      <c r="D27" s="149"/>
      <c r="E27" s="149"/>
      <c r="F27" s="149"/>
      <c r="G27" s="149"/>
      <c r="H27" s="149"/>
      <c r="I27" s="149"/>
      <c r="J27" s="149"/>
    </row>
    <row r="28" spans="1:10" s="31" customFormat="1" ht="23.25" customHeight="1">
      <c r="A28" s="148"/>
      <c r="B28" s="149"/>
      <c r="C28" s="149"/>
      <c r="D28" s="149"/>
      <c r="E28" s="149"/>
      <c r="F28" s="149"/>
      <c r="G28" s="149"/>
      <c r="H28" s="149"/>
      <c r="I28" s="149"/>
      <c r="J28" s="149"/>
    </row>
    <row r="29" spans="1:10" s="31" customFormat="1" ht="23.25" customHeight="1">
      <c r="A29" s="148"/>
      <c r="B29" s="149"/>
      <c r="C29" s="149"/>
      <c r="D29" s="149"/>
      <c r="E29" s="149"/>
      <c r="F29" s="149"/>
      <c r="G29" s="149"/>
      <c r="H29" s="149"/>
      <c r="I29" s="149"/>
      <c r="J29" s="149"/>
    </row>
    <row r="30" spans="1:10" s="31" customFormat="1" ht="23.25" customHeight="1">
      <c r="A30" s="148"/>
      <c r="B30" s="149"/>
      <c r="C30" s="149"/>
      <c r="D30" s="149"/>
      <c r="E30" s="149"/>
      <c r="F30" s="149"/>
      <c r="G30" s="149"/>
      <c r="H30" s="149"/>
      <c r="I30" s="149"/>
      <c r="J30" s="149"/>
    </row>
    <row r="31" spans="1:10" ht="23.25" customHeight="1">
      <c r="A31" s="148"/>
      <c r="B31" s="149"/>
      <c r="C31" s="149"/>
      <c r="D31" s="149"/>
      <c r="E31" s="149"/>
      <c r="F31" s="149"/>
      <c r="G31" s="149"/>
      <c r="H31" s="149"/>
      <c r="I31" s="149"/>
      <c r="J31" s="149"/>
    </row>
    <row r="32" spans="1:10" ht="23.25" customHeight="1">
      <c r="A32" s="148"/>
      <c r="B32" s="149"/>
      <c r="C32" s="149"/>
      <c r="D32" s="149"/>
      <c r="E32" s="149"/>
      <c r="F32" s="149"/>
      <c r="G32" s="149"/>
      <c r="H32" s="149"/>
      <c r="I32" s="149"/>
      <c r="J32" s="149"/>
    </row>
    <row r="33" spans="1:10" ht="23.25" customHeight="1">
      <c r="A33" s="148"/>
      <c r="B33" s="149"/>
      <c r="C33" s="149"/>
      <c r="D33" s="149"/>
      <c r="E33" s="149"/>
      <c r="F33" s="149"/>
      <c r="G33" s="149"/>
      <c r="H33" s="149"/>
      <c r="I33" s="149"/>
      <c r="J33" s="149"/>
    </row>
    <row r="34" spans="1:10" ht="15" customHeight="1">
      <c r="A34" s="148"/>
      <c r="B34" s="149"/>
      <c r="C34" s="149"/>
      <c r="D34" s="149"/>
      <c r="E34" s="149"/>
      <c r="F34" s="149"/>
      <c r="G34" s="149"/>
      <c r="H34" s="149"/>
      <c r="I34" s="149"/>
      <c r="J34" s="149"/>
    </row>
    <row r="35" spans="1:10" ht="15" customHeight="1">
      <c r="A35" s="148"/>
      <c r="B35" s="149"/>
      <c r="C35" s="149"/>
      <c r="D35" s="149"/>
      <c r="E35" s="149"/>
      <c r="F35" s="149"/>
      <c r="G35" s="149"/>
      <c r="H35" s="149"/>
      <c r="I35" s="149"/>
      <c r="J35" s="149"/>
    </row>
    <row r="36" spans="1:10" ht="15.75" customHeight="1">
      <c r="A36" s="148"/>
      <c r="B36" s="149"/>
      <c r="C36" s="149"/>
      <c r="D36" s="149"/>
      <c r="E36" s="149"/>
      <c r="F36" s="149"/>
      <c r="G36" s="149"/>
      <c r="H36" s="149"/>
      <c r="I36" s="149"/>
      <c r="J36" s="149"/>
    </row>
    <row r="37" spans="1:10" ht="15.75" customHeight="1">
      <c r="A37" s="148"/>
      <c r="B37" s="149"/>
      <c r="C37" s="149"/>
      <c r="D37" s="149"/>
      <c r="E37" s="149"/>
      <c r="F37" s="149"/>
      <c r="G37" s="149"/>
      <c r="H37" s="149"/>
      <c r="I37" s="149"/>
      <c r="J37" s="149"/>
    </row>
    <row r="38" spans="1:10" ht="16.5" customHeight="1" thickBot="1">
      <c r="A38" s="150"/>
      <c r="B38" s="151"/>
      <c r="C38" s="151"/>
      <c r="D38" s="151"/>
      <c r="E38" s="151"/>
      <c r="F38" s="151"/>
      <c r="G38" s="151"/>
      <c r="H38" s="151"/>
      <c r="I38" s="151"/>
      <c r="J38" s="151"/>
    </row>
    <row r="39" spans="1:10" ht="16.2" thickTop="1">
      <c r="A39" s="52"/>
      <c r="B39" s="53"/>
      <c r="C39" s="53"/>
      <c r="D39" s="53"/>
      <c r="E39" s="53"/>
      <c r="F39" s="53"/>
      <c r="G39" s="53"/>
      <c r="H39" s="53"/>
      <c r="I39" s="53"/>
      <c r="J39" s="54"/>
    </row>
    <row r="40" spans="1:10">
      <c r="A40" s="55"/>
      <c r="B40" s="56"/>
      <c r="C40" s="56"/>
      <c r="D40" s="56"/>
      <c r="E40" s="56"/>
      <c r="F40" s="56"/>
      <c r="G40" s="56"/>
      <c r="H40" s="56"/>
      <c r="I40" s="56"/>
      <c r="J40" s="57"/>
    </row>
    <row r="41" spans="1:10" ht="18">
      <c r="A41" s="152" t="s">
        <v>66</v>
      </c>
      <c r="B41" s="153"/>
      <c r="C41" s="153"/>
      <c r="D41" s="153"/>
      <c r="E41" s="153"/>
      <c r="F41" s="153"/>
      <c r="G41" s="153"/>
      <c r="H41" s="153"/>
      <c r="I41" s="153"/>
      <c r="J41" s="154"/>
    </row>
    <row r="42" spans="1:10" ht="18.600000000000001" thickBot="1">
      <c r="A42" s="155">
        <v>45608</v>
      </c>
      <c r="B42" s="156"/>
      <c r="C42" s="156"/>
      <c r="D42" s="156"/>
      <c r="E42" s="156"/>
      <c r="F42" s="156"/>
      <c r="G42" s="156"/>
      <c r="H42" s="156"/>
      <c r="I42" s="156"/>
      <c r="J42" s="157"/>
    </row>
    <row r="43" spans="1:10" ht="15" thickTop="1"/>
  </sheetData>
  <mergeCells count="10">
    <mergeCell ref="A19:J38"/>
    <mergeCell ref="A41:J41"/>
    <mergeCell ref="A42:J42"/>
    <mergeCell ref="A17:J17"/>
    <mergeCell ref="A1:J5"/>
    <mergeCell ref="A9:J9"/>
    <mergeCell ref="A10:J11"/>
    <mergeCell ref="A14:J14"/>
    <mergeCell ref="A15:J15"/>
    <mergeCell ref="A16:J16"/>
  </mergeCells>
  <pageMargins left="0.7" right="0.7" top="0.53" bottom="0.5" header="0.3" footer="0.3"/>
  <pageSetup scale="94" firstPageNumber="0" orientation="portrait" horizontalDpi="300"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A21" sqref="A21"/>
    </sheetView>
  </sheetViews>
  <sheetFormatPr defaultColWidth="8" defaultRowHeight="15.6"/>
  <cols>
    <col min="1" max="1" width="109.44140625" style="62" customWidth="1"/>
    <col min="2" max="5" width="1" style="60" customWidth="1"/>
    <col min="6" max="6" width="5" style="60" customWidth="1"/>
    <col min="7" max="9" width="1" style="60" customWidth="1"/>
    <col min="10" max="10" width="1.6640625" style="60" customWidth="1"/>
    <col min="11" max="11" width="1" style="60" customWidth="1"/>
    <col min="12" max="12" width="17" style="60" customWidth="1"/>
    <col min="13" max="13" width="9.6640625" style="60" customWidth="1"/>
    <col min="14" max="14" width="1" style="60" customWidth="1"/>
    <col min="15" max="16" width="1.6640625" style="60" customWidth="1"/>
    <col min="17" max="17" width="4" style="60" customWidth="1"/>
    <col min="18" max="18" width="2.6640625" style="60" customWidth="1"/>
    <col min="19" max="22" width="1" style="60" customWidth="1"/>
    <col min="23" max="24" width="1.6640625" style="60" customWidth="1"/>
    <col min="25" max="26" width="1" style="60" customWidth="1"/>
    <col min="27" max="28" width="1.6640625" style="60" customWidth="1"/>
    <col min="29" max="29" width="2.6640625" style="60" customWidth="1"/>
    <col min="30" max="34" width="1" style="60" customWidth="1"/>
    <col min="35" max="35" width="2.6640625" style="60" customWidth="1"/>
    <col min="36" max="36" width="1" style="60" customWidth="1"/>
    <col min="37" max="37" width="2.6640625" style="60" customWidth="1"/>
    <col min="38" max="38" width="1" style="60" customWidth="1"/>
    <col min="39" max="39" width="2.6640625" style="60" customWidth="1"/>
    <col min="40" max="43" width="1" style="60" customWidth="1"/>
    <col min="44" max="47" width="1.6640625" style="60" customWidth="1"/>
    <col min="48" max="48" width="1" style="60" customWidth="1"/>
    <col min="49" max="49" width="1.6640625" style="60" customWidth="1"/>
    <col min="50" max="51" width="1" style="60" customWidth="1"/>
    <col min="52" max="52" width="1.6640625" style="60" customWidth="1"/>
    <col min="53" max="53" width="5" style="60" customWidth="1"/>
    <col min="54" max="54" width="1" style="60" customWidth="1"/>
    <col min="55" max="55" width="4" style="60" customWidth="1"/>
    <col min="56" max="56" width="1" style="60" customWidth="1"/>
    <col min="57" max="57" width="2.6640625" style="60" customWidth="1"/>
    <col min="58" max="58" width="1" style="60" customWidth="1"/>
    <col min="59" max="60" width="1.6640625" style="60" customWidth="1"/>
    <col min="61" max="61" width="2.6640625" style="60" customWidth="1"/>
    <col min="62" max="63" width="1.6640625" style="60" customWidth="1"/>
    <col min="64" max="66" width="1" style="60" customWidth="1"/>
    <col min="67" max="67" width="1.6640625" style="60" customWidth="1"/>
    <col min="68" max="68" width="1" style="60" customWidth="1"/>
    <col min="69" max="69" width="2.6640625" style="60" customWidth="1"/>
    <col min="70" max="70" width="1.6640625" style="60" customWidth="1"/>
    <col min="71" max="71" width="1" style="60" customWidth="1"/>
    <col min="72" max="72" width="2.6640625" style="60" customWidth="1"/>
    <col min="73" max="73" width="1.6640625" style="60" customWidth="1"/>
    <col min="74" max="74" width="1" style="60" customWidth="1"/>
    <col min="75" max="75" width="1.6640625" style="60" customWidth="1"/>
    <col min="76" max="79" width="1" style="60" customWidth="1"/>
    <col min="80" max="16384" width="8" style="60"/>
  </cols>
  <sheetData>
    <row r="1" spans="1:1">
      <c r="A1" s="59"/>
    </row>
    <row r="2" spans="1:1">
      <c r="A2" s="61" t="s">
        <v>68</v>
      </c>
    </row>
    <row r="3" spans="1:1">
      <c r="A3" s="59" t="s">
        <v>69</v>
      </c>
    </row>
    <row r="4" spans="1:1">
      <c r="A4" s="59" t="s">
        <v>70</v>
      </c>
    </row>
    <row r="5" spans="1:1">
      <c r="A5" s="59" t="s">
        <v>123</v>
      </c>
    </row>
    <row r="6" spans="1:1" ht="78">
      <c r="A6" s="59" t="s">
        <v>71</v>
      </c>
    </row>
    <row r="7" spans="1:1" ht="46.8">
      <c r="A7" s="59" t="s">
        <v>72</v>
      </c>
    </row>
    <row r="8" spans="1:1" ht="46.8">
      <c r="A8" s="59" t="s">
        <v>73</v>
      </c>
    </row>
    <row r="9" spans="1:1">
      <c r="A9" s="59" t="s">
        <v>74</v>
      </c>
    </row>
    <row r="10" spans="1:1" ht="31.2">
      <c r="A10" s="59" t="s">
        <v>75</v>
      </c>
    </row>
    <row r="11" spans="1:1" ht="31.2">
      <c r="A11" s="59" t="s">
        <v>76</v>
      </c>
    </row>
    <row r="12" spans="1:1" ht="46.8">
      <c r="A12" s="59" t="s">
        <v>77</v>
      </c>
    </row>
    <row r="13" spans="1:1">
      <c r="A13" s="59" t="s">
        <v>78</v>
      </c>
    </row>
    <row r="14" spans="1:1" ht="46.8">
      <c r="A14" s="59" t="s">
        <v>79</v>
      </c>
    </row>
    <row r="15" spans="1:1" ht="18" customHeight="1">
      <c r="A15" s="59" t="s">
        <v>80</v>
      </c>
    </row>
    <row r="16" spans="1:1">
      <c r="A16" s="59" t="s">
        <v>81</v>
      </c>
    </row>
    <row r="17" spans="1:1">
      <c r="A17" s="59" t="s">
        <v>82</v>
      </c>
    </row>
    <row r="18" spans="1:1">
      <c r="A18" s="59" t="s">
        <v>83</v>
      </c>
    </row>
    <row r="19" spans="1:1">
      <c r="A19" s="59" t="s">
        <v>84</v>
      </c>
    </row>
    <row r="20" spans="1:1">
      <c r="A20" s="59" t="s">
        <v>85</v>
      </c>
    </row>
    <row r="21" spans="1:1" ht="31.2">
      <c r="A21" s="59" t="s">
        <v>86</v>
      </c>
    </row>
    <row r="22" spans="1:1" ht="46.8">
      <c r="A22" s="62" t="s">
        <v>87</v>
      </c>
    </row>
    <row r="23" spans="1:1">
      <c r="A23" s="59" t="s">
        <v>88</v>
      </c>
    </row>
    <row r="24" spans="1:1">
      <c r="A24" s="59" t="s">
        <v>89</v>
      </c>
    </row>
    <row r="25" spans="1:1" ht="31.2">
      <c r="A25" s="59" t="s">
        <v>90</v>
      </c>
    </row>
    <row r="26" spans="1:1">
      <c r="A26" s="59" t="s">
        <v>91</v>
      </c>
    </row>
    <row r="27" spans="1:1" ht="31.2">
      <c r="A27" s="59" t="s">
        <v>92</v>
      </c>
    </row>
    <row r="28" spans="1:1">
      <c r="A28" s="59" t="s">
        <v>93</v>
      </c>
    </row>
    <row r="29" spans="1:1">
      <c r="A29" s="59" t="s">
        <v>94</v>
      </c>
    </row>
    <row r="30" spans="1:1">
      <c r="A30" s="59" t="s">
        <v>95</v>
      </c>
    </row>
    <row r="31" spans="1:1" ht="31.2">
      <c r="A31" s="59" t="s">
        <v>96</v>
      </c>
    </row>
    <row r="32" spans="1:1" ht="46.8">
      <c r="A32" s="59" t="s">
        <v>97</v>
      </c>
    </row>
    <row r="33" spans="1:1" ht="31.2">
      <c r="A33" s="59" t="s">
        <v>98</v>
      </c>
    </row>
    <row r="34" spans="1:1" ht="37.950000000000003" customHeight="1">
      <c r="A34" s="59" t="s">
        <v>99</v>
      </c>
    </row>
    <row r="35" spans="1:1" ht="31.2">
      <c r="A35" s="59" t="s">
        <v>100</v>
      </c>
    </row>
    <row r="36" spans="1:1" ht="46.8">
      <c r="A36" s="59" t="s">
        <v>101</v>
      </c>
    </row>
    <row r="37" spans="1:1" ht="46.8">
      <c r="A37" s="59" t="s">
        <v>102</v>
      </c>
    </row>
    <row r="38" spans="1:1" ht="46.8">
      <c r="A38" s="59" t="s">
        <v>103</v>
      </c>
    </row>
    <row r="39" spans="1:1" ht="31.2">
      <c r="A39" s="59" t="s">
        <v>104</v>
      </c>
    </row>
    <row r="40" spans="1:1" ht="31.2">
      <c r="A40" s="59" t="s">
        <v>105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9"/>
  <sheetViews>
    <sheetView view="pageBreakPreview" zoomScale="60" zoomScaleNormal="100" workbookViewId="0">
      <selection activeCell="F16" sqref="F16"/>
    </sheetView>
  </sheetViews>
  <sheetFormatPr defaultColWidth="8.6640625" defaultRowHeight="22.8"/>
  <cols>
    <col min="1" max="1" width="77.44140625" style="1" bestFit="1" customWidth="1"/>
    <col min="2" max="2" width="13.44140625" style="11" customWidth="1"/>
    <col min="3" max="3" width="29.44140625" style="1" bestFit="1" customWidth="1"/>
    <col min="4" max="4" width="18.44140625" style="1" bestFit="1" customWidth="1"/>
    <col min="5" max="5" width="13.44140625" style="1" bestFit="1" customWidth="1"/>
    <col min="6" max="6" width="18.33203125" style="1" bestFit="1" customWidth="1"/>
    <col min="7" max="249" width="9.109375" style="1"/>
    <col min="250" max="250" width="13.44140625" style="1" customWidth="1"/>
    <col min="251" max="251" width="71.6640625" style="1" customWidth="1"/>
    <col min="252" max="252" width="8" style="1" customWidth="1"/>
    <col min="253" max="253" width="10.44140625" style="1" customWidth="1"/>
    <col min="254" max="254" width="17.109375" style="1" customWidth="1"/>
    <col min="255" max="255" width="22" style="1" customWidth="1"/>
    <col min="256" max="256" width="9.109375" style="1"/>
    <col min="257" max="257" width="9.44140625" style="1" customWidth="1"/>
    <col min="258" max="260" width="14.44140625" style="1" bestFit="1" customWidth="1"/>
    <col min="261" max="261" width="10.6640625" style="1" bestFit="1" customWidth="1"/>
    <col min="262" max="262" width="12.44140625" style="1" bestFit="1" customWidth="1"/>
    <col min="263" max="505" width="9.109375" style="1"/>
    <col min="506" max="506" width="13.44140625" style="1" customWidth="1"/>
    <col min="507" max="507" width="71.6640625" style="1" customWidth="1"/>
    <col min="508" max="508" width="8" style="1" customWidth="1"/>
    <col min="509" max="509" width="10.44140625" style="1" customWidth="1"/>
    <col min="510" max="510" width="17.109375" style="1" customWidth="1"/>
    <col min="511" max="511" width="22" style="1" customWidth="1"/>
    <col min="512" max="512" width="9.109375" style="1"/>
    <col min="513" max="513" width="9.44140625" style="1" customWidth="1"/>
    <col min="514" max="516" width="14.44140625" style="1" bestFit="1" customWidth="1"/>
    <col min="517" max="517" width="10.6640625" style="1" bestFit="1" customWidth="1"/>
    <col min="518" max="518" width="12.44140625" style="1" bestFit="1" customWidth="1"/>
    <col min="519" max="761" width="9.109375" style="1"/>
    <col min="762" max="762" width="13.44140625" style="1" customWidth="1"/>
    <col min="763" max="763" width="71.6640625" style="1" customWidth="1"/>
    <col min="764" max="764" width="8" style="1" customWidth="1"/>
    <col min="765" max="765" width="10.44140625" style="1" customWidth="1"/>
    <col min="766" max="766" width="17.109375" style="1" customWidth="1"/>
    <col min="767" max="767" width="22" style="1" customWidth="1"/>
    <col min="768" max="768" width="9.109375" style="1"/>
    <col min="769" max="769" width="9.44140625" style="1" customWidth="1"/>
    <col min="770" max="772" width="14.44140625" style="1" bestFit="1" customWidth="1"/>
    <col min="773" max="773" width="10.6640625" style="1" bestFit="1" customWidth="1"/>
    <col min="774" max="774" width="12.44140625" style="1" bestFit="1" customWidth="1"/>
    <col min="775" max="1017" width="9.109375" style="1"/>
    <col min="1018" max="1018" width="13.44140625" style="1" customWidth="1"/>
    <col min="1019" max="1019" width="71.6640625" style="1" customWidth="1"/>
    <col min="1020" max="1020" width="8" style="1" customWidth="1"/>
    <col min="1021" max="1021" width="10.44140625" style="1" customWidth="1"/>
    <col min="1022" max="1022" width="17.109375" style="1" customWidth="1"/>
    <col min="1023" max="1023" width="22" style="1" customWidth="1"/>
    <col min="1024" max="1024" width="9.109375" style="1"/>
    <col min="1025" max="1025" width="9.44140625" style="1" customWidth="1"/>
    <col min="1026" max="1028" width="14.44140625" style="1" bestFit="1" customWidth="1"/>
    <col min="1029" max="1029" width="10.6640625" style="1" bestFit="1" customWidth="1"/>
    <col min="1030" max="1030" width="12.44140625" style="1" bestFit="1" customWidth="1"/>
    <col min="1031" max="1273" width="9.109375" style="1"/>
    <col min="1274" max="1274" width="13.44140625" style="1" customWidth="1"/>
    <col min="1275" max="1275" width="71.6640625" style="1" customWidth="1"/>
    <col min="1276" max="1276" width="8" style="1" customWidth="1"/>
    <col min="1277" max="1277" width="10.44140625" style="1" customWidth="1"/>
    <col min="1278" max="1278" width="17.109375" style="1" customWidth="1"/>
    <col min="1279" max="1279" width="22" style="1" customWidth="1"/>
    <col min="1280" max="1280" width="9.109375" style="1"/>
    <col min="1281" max="1281" width="9.44140625" style="1" customWidth="1"/>
    <col min="1282" max="1284" width="14.44140625" style="1" bestFit="1" customWidth="1"/>
    <col min="1285" max="1285" width="10.6640625" style="1" bestFit="1" customWidth="1"/>
    <col min="1286" max="1286" width="12.44140625" style="1" bestFit="1" customWidth="1"/>
    <col min="1287" max="1529" width="9.109375" style="1"/>
    <col min="1530" max="1530" width="13.44140625" style="1" customWidth="1"/>
    <col min="1531" max="1531" width="71.6640625" style="1" customWidth="1"/>
    <col min="1532" max="1532" width="8" style="1" customWidth="1"/>
    <col min="1533" max="1533" width="10.44140625" style="1" customWidth="1"/>
    <col min="1534" max="1534" width="17.109375" style="1" customWidth="1"/>
    <col min="1535" max="1535" width="22" style="1" customWidth="1"/>
    <col min="1536" max="1536" width="9.109375" style="1"/>
    <col min="1537" max="1537" width="9.44140625" style="1" customWidth="1"/>
    <col min="1538" max="1540" width="14.44140625" style="1" bestFit="1" customWidth="1"/>
    <col min="1541" max="1541" width="10.6640625" style="1" bestFit="1" customWidth="1"/>
    <col min="1542" max="1542" width="12.44140625" style="1" bestFit="1" customWidth="1"/>
    <col min="1543" max="1785" width="9.109375" style="1"/>
    <col min="1786" max="1786" width="13.44140625" style="1" customWidth="1"/>
    <col min="1787" max="1787" width="71.6640625" style="1" customWidth="1"/>
    <col min="1788" max="1788" width="8" style="1" customWidth="1"/>
    <col min="1789" max="1789" width="10.44140625" style="1" customWidth="1"/>
    <col min="1790" max="1790" width="17.109375" style="1" customWidth="1"/>
    <col min="1791" max="1791" width="22" style="1" customWidth="1"/>
    <col min="1792" max="1792" width="9.109375" style="1"/>
    <col min="1793" max="1793" width="9.44140625" style="1" customWidth="1"/>
    <col min="1794" max="1796" width="14.44140625" style="1" bestFit="1" customWidth="1"/>
    <col min="1797" max="1797" width="10.6640625" style="1" bestFit="1" customWidth="1"/>
    <col min="1798" max="1798" width="12.44140625" style="1" bestFit="1" customWidth="1"/>
    <col min="1799" max="2041" width="9.109375" style="1"/>
    <col min="2042" max="2042" width="13.44140625" style="1" customWidth="1"/>
    <col min="2043" max="2043" width="71.6640625" style="1" customWidth="1"/>
    <col min="2044" max="2044" width="8" style="1" customWidth="1"/>
    <col min="2045" max="2045" width="10.44140625" style="1" customWidth="1"/>
    <col min="2046" max="2046" width="17.109375" style="1" customWidth="1"/>
    <col min="2047" max="2047" width="22" style="1" customWidth="1"/>
    <col min="2048" max="2048" width="9.109375" style="1"/>
    <col min="2049" max="2049" width="9.44140625" style="1" customWidth="1"/>
    <col min="2050" max="2052" width="14.44140625" style="1" bestFit="1" customWidth="1"/>
    <col min="2053" max="2053" width="10.6640625" style="1" bestFit="1" customWidth="1"/>
    <col min="2054" max="2054" width="12.44140625" style="1" bestFit="1" customWidth="1"/>
    <col min="2055" max="2297" width="9.109375" style="1"/>
    <col min="2298" max="2298" width="13.44140625" style="1" customWidth="1"/>
    <col min="2299" max="2299" width="71.6640625" style="1" customWidth="1"/>
    <col min="2300" max="2300" width="8" style="1" customWidth="1"/>
    <col min="2301" max="2301" width="10.44140625" style="1" customWidth="1"/>
    <col min="2302" max="2302" width="17.109375" style="1" customWidth="1"/>
    <col min="2303" max="2303" width="22" style="1" customWidth="1"/>
    <col min="2304" max="2304" width="9.109375" style="1"/>
    <col min="2305" max="2305" width="9.44140625" style="1" customWidth="1"/>
    <col min="2306" max="2308" width="14.44140625" style="1" bestFit="1" customWidth="1"/>
    <col min="2309" max="2309" width="10.6640625" style="1" bestFit="1" customWidth="1"/>
    <col min="2310" max="2310" width="12.44140625" style="1" bestFit="1" customWidth="1"/>
    <col min="2311" max="2553" width="9.109375" style="1"/>
    <col min="2554" max="2554" width="13.44140625" style="1" customWidth="1"/>
    <col min="2555" max="2555" width="71.6640625" style="1" customWidth="1"/>
    <col min="2556" max="2556" width="8" style="1" customWidth="1"/>
    <col min="2557" max="2557" width="10.44140625" style="1" customWidth="1"/>
    <col min="2558" max="2558" width="17.109375" style="1" customWidth="1"/>
    <col min="2559" max="2559" width="22" style="1" customWidth="1"/>
    <col min="2560" max="2560" width="9.109375" style="1"/>
    <col min="2561" max="2561" width="9.44140625" style="1" customWidth="1"/>
    <col min="2562" max="2564" width="14.44140625" style="1" bestFit="1" customWidth="1"/>
    <col min="2565" max="2565" width="10.6640625" style="1" bestFit="1" customWidth="1"/>
    <col min="2566" max="2566" width="12.44140625" style="1" bestFit="1" customWidth="1"/>
    <col min="2567" max="2809" width="9.109375" style="1"/>
    <col min="2810" max="2810" width="13.44140625" style="1" customWidth="1"/>
    <col min="2811" max="2811" width="71.6640625" style="1" customWidth="1"/>
    <col min="2812" max="2812" width="8" style="1" customWidth="1"/>
    <col min="2813" max="2813" width="10.44140625" style="1" customWidth="1"/>
    <col min="2814" max="2814" width="17.109375" style="1" customWidth="1"/>
    <col min="2815" max="2815" width="22" style="1" customWidth="1"/>
    <col min="2816" max="2816" width="9.109375" style="1"/>
    <col min="2817" max="2817" width="9.44140625" style="1" customWidth="1"/>
    <col min="2818" max="2820" width="14.44140625" style="1" bestFit="1" customWidth="1"/>
    <col min="2821" max="2821" width="10.6640625" style="1" bestFit="1" customWidth="1"/>
    <col min="2822" max="2822" width="12.44140625" style="1" bestFit="1" customWidth="1"/>
    <col min="2823" max="3065" width="9.109375" style="1"/>
    <col min="3066" max="3066" width="13.44140625" style="1" customWidth="1"/>
    <col min="3067" max="3067" width="71.6640625" style="1" customWidth="1"/>
    <col min="3068" max="3068" width="8" style="1" customWidth="1"/>
    <col min="3069" max="3069" width="10.44140625" style="1" customWidth="1"/>
    <col min="3070" max="3070" width="17.109375" style="1" customWidth="1"/>
    <col min="3071" max="3071" width="22" style="1" customWidth="1"/>
    <col min="3072" max="3072" width="9.109375" style="1"/>
    <col min="3073" max="3073" width="9.44140625" style="1" customWidth="1"/>
    <col min="3074" max="3076" width="14.44140625" style="1" bestFit="1" customWidth="1"/>
    <col min="3077" max="3077" width="10.6640625" style="1" bestFit="1" customWidth="1"/>
    <col min="3078" max="3078" width="12.44140625" style="1" bestFit="1" customWidth="1"/>
    <col min="3079" max="3321" width="9.109375" style="1"/>
    <col min="3322" max="3322" width="13.44140625" style="1" customWidth="1"/>
    <col min="3323" max="3323" width="71.6640625" style="1" customWidth="1"/>
    <col min="3324" max="3324" width="8" style="1" customWidth="1"/>
    <col min="3325" max="3325" width="10.44140625" style="1" customWidth="1"/>
    <col min="3326" max="3326" width="17.109375" style="1" customWidth="1"/>
    <col min="3327" max="3327" width="22" style="1" customWidth="1"/>
    <col min="3328" max="3328" width="9.109375" style="1"/>
    <col min="3329" max="3329" width="9.44140625" style="1" customWidth="1"/>
    <col min="3330" max="3332" width="14.44140625" style="1" bestFit="1" customWidth="1"/>
    <col min="3333" max="3333" width="10.6640625" style="1" bestFit="1" customWidth="1"/>
    <col min="3334" max="3334" width="12.44140625" style="1" bestFit="1" customWidth="1"/>
    <col min="3335" max="3577" width="9.109375" style="1"/>
    <col min="3578" max="3578" width="13.44140625" style="1" customWidth="1"/>
    <col min="3579" max="3579" width="71.6640625" style="1" customWidth="1"/>
    <col min="3580" max="3580" width="8" style="1" customWidth="1"/>
    <col min="3581" max="3581" width="10.44140625" style="1" customWidth="1"/>
    <col min="3582" max="3582" width="17.109375" style="1" customWidth="1"/>
    <col min="3583" max="3583" width="22" style="1" customWidth="1"/>
    <col min="3584" max="3584" width="9.109375" style="1"/>
    <col min="3585" max="3585" width="9.44140625" style="1" customWidth="1"/>
    <col min="3586" max="3588" width="14.44140625" style="1" bestFit="1" customWidth="1"/>
    <col min="3589" max="3589" width="10.6640625" style="1" bestFit="1" customWidth="1"/>
    <col min="3590" max="3590" width="12.44140625" style="1" bestFit="1" customWidth="1"/>
    <col min="3591" max="3833" width="9.109375" style="1"/>
    <col min="3834" max="3834" width="13.44140625" style="1" customWidth="1"/>
    <col min="3835" max="3835" width="71.6640625" style="1" customWidth="1"/>
    <col min="3836" max="3836" width="8" style="1" customWidth="1"/>
    <col min="3837" max="3837" width="10.44140625" style="1" customWidth="1"/>
    <col min="3838" max="3838" width="17.109375" style="1" customWidth="1"/>
    <col min="3839" max="3839" width="22" style="1" customWidth="1"/>
    <col min="3840" max="3840" width="9.109375" style="1"/>
    <col min="3841" max="3841" width="9.44140625" style="1" customWidth="1"/>
    <col min="3842" max="3844" width="14.44140625" style="1" bestFit="1" customWidth="1"/>
    <col min="3845" max="3845" width="10.6640625" style="1" bestFit="1" customWidth="1"/>
    <col min="3846" max="3846" width="12.44140625" style="1" bestFit="1" customWidth="1"/>
    <col min="3847" max="4089" width="9.109375" style="1"/>
    <col min="4090" max="4090" width="13.44140625" style="1" customWidth="1"/>
    <col min="4091" max="4091" width="71.6640625" style="1" customWidth="1"/>
    <col min="4092" max="4092" width="8" style="1" customWidth="1"/>
    <col min="4093" max="4093" width="10.44140625" style="1" customWidth="1"/>
    <col min="4094" max="4094" width="17.109375" style="1" customWidth="1"/>
    <col min="4095" max="4095" width="22" style="1" customWidth="1"/>
    <col min="4096" max="4096" width="9.109375" style="1"/>
    <col min="4097" max="4097" width="9.44140625" style="1" customWidth="1"/>
    <col min="4098" max="4100" width="14.44140625" style="1" bestFit="1" customWidth="1"/>
    <col min="4101" max="4101" width="10.6640625" style="1" bestFit="1" customWidth="1"/>
    <col min="4102" max="4102" width="12.44140625" style="1" bestFit="1" customWidth="1"/>
    <col min="4103" max="4345" width="9.109375" style="1"/>
    <col min="4346" max="4346" width="13.44140625" style="1" customWidth="1"/>
    <col min="4347" max="4347" width="71.6640625" style="1" customWidth="1"/>
    <col min="4348" max="4348" width="8" style="1" customWidth="1"/>
    <col min="4349" max="4349" width="10.44140625" style="1" customWidth="1"/>
    <col min="4350" max="4350" width="17.109375" style="1" customWidth="1"/>
    <col min="4351" max="4351" width="22" style="1" customWidth="1"/>
    <col min="4352" max="4352" width="9.109375" style="1"/>
    <col min="4353" max="4353" width="9.44140625" style="1" customWidth="1"/>
    <col min="4354" max="4356" width="14.44140625" style="1" bestFit="1" customWidth="1"/>
    <col min="4357" max="4357" width="10.6640625" style="1" bestFit="1" customWidth="1"/>
    <col min="4358" max="4358" width="12.44140625" style="1" bestFit="1" customWidth="1"/>
    <col min="4359" max="4601" width="9.109375" style="1"/>
    <col min="4602" max="4602" width="13.44140625" style="1" customWidth="1"/>
    <col min="4603" max="4603" width="71.6640625" style="1" customWidth="1"/>
    <col min="4604" max="4604" width="8" style="1" customWidth="1"/>
    <col min="4605" max="4605" width="10.44140625" style="1" customWidth="1"/>
    <col min="4606" max="4606" width="17.109375" style="1" customWidth="1"/>
    <col min="4607" max="4607" width="22" style="1" customWidth="1"/>
    <col min="4608" max="4608" width="9.109375" style="1"/>
    <col min="4609" max="4609" width="9.44140625" style="1" customWidth="1"/>
    <col min="4610" max="4612" width="14.44140625" style="1" bestFit="1" customWidth="1"/>
    <col min="4613" max="4613" width="10.6640625" style="1" bestFit="1" customWidth="1"/>
    <col min="4614" max="4614" width="12.44140625" style="1" bestFit="1" customWidth="1"/>
    <col min="4615" max="4857" width="9.109375" style="1"/>
    <col min="4858" max="4858" width="13.44140625" style="1" customWidth="1"/>
    <col min="4859" max="4859" width="71.6640625" style="1" customWidth="1"/>
    <col min="4860" max="4860" width="8" style="1" customWidth="1"/>
    <col min="4861" max="4861" width="10.44140625" style="1" customWidth="1"/>
    <col min="4862" max="4862" width="17.109375" style="1" customWidth="1"/>
    <col min="4863" max="4863" width="22" style="1" customWidth="1"/>
    <col min="4864" max="4864" width="9.109375" style="1"/>
    <col min="4865" max="4865" width="9.44140625" style="1" customWidth="1"/>
    <col min="4866" max="4868" width="14.44140625" style="1" bestFit="1" customWidth="1"/>
    <col min="4869" max="4869" width="10.6640625" style="1" bestFit="1" customWidth="1"/>
    <col min="4870" max="4870" width="12.44140625" style="1" bestFit="1" customWidth="1"/>
    <col min="4871" max="5113" width="9.109375" style="1"/>
    <col min="5114" max="5114" width="13.44140625" style="1" customWidth="1"/>
    <col min="5115" max="5115" width="71.6640625" style="1" customWidth="1"/>
    <col min="5116" max="5116" width="8" style="1" customWidth="1"/>
    <col min="5117" max="5117" width="10.44140625" style="1" customWidth="1"/>
    <col min="5118" max="5118" width="17.109375" style="1" customWidth="1"/>
    <col min="5119" max="5119" width="22" style="1" customWidth="1"/>
    <col min="5120" max="5120" width="9.109375" style="1"/>
    <col min="5121" max="5121" width="9.44140625" style="1" customWidth="1"/>
    <col min="5122" max="5124" width="14.44140625" style="1" bestFit="1" customWidth="1"/>
    <col min="5125" max="5125" width="10.6640625" style="1" bestFit="1" customWidth="1"/>
    <col min="5126" max="5126" width="12.44140625" style="1" bestFit="1" customWidth="1"/>
    <col min="5127" max="5369" width="9.109375" style="1"/>
    <col min="5370" max="5370" width="13.44140625" style="1" customWidth="1"/>
    <col min="5371" max="5371" width="71.6640625" style="1" customWidth="1"/>
    <col min="5372" max="5372" width="8" style="1" customWidth="1"/>
    <col min="5373" max="5373" width="10.44140625" style="1" customWidth="1"/>
    <col min="5374" max="5374" width="17.109375" style="1" customWidth="1"/>
    <col min="5375" max="5375" width="22" style="1" customWidth="1"/>
    <col min="5376" max="5376" width="9.109375" style="1"/>
    <col min="5377" max="5377" width="9.44140625" style="1" customWidth="1"/>
    <col min="5378" max="5380" width="14.44140625" style="1" bestFit="1" customWidth="1"/>
    <col min="5381" max="5381" width="10.6640625" style="1" bestFit="1" customWidth="1"/>
    <col min="5382" max="5382" width="12.44140625" style="1" bestFit="1" customWidth="1"/>
    <col min="5383" max="5625" width="9.109375" style="1"/>
    <col min="5626" max="5626" width="13.44140625" style="1" customWidth="1"/>
    <col min="5627" max="5627" width="71.6640625" style="1" customWidth="1"/>
    <col min="5628" max="5628" width="8" style="1" customWidth="1"/>
    <col min="5629" max="5629" width="10.44140625" style="1" customWidth="1"/>
    <col min="5630" max="5630" width="17.109375" style="1" customWidth="1"/>
    <col min="5631" max="5631" width="22" style="1" customWidth="1"/>
    <col min="5632" max="5632" width="9.109375" style="1"/>
    <col min="5633" max="5633" width="9.44140625" style="1" customWidth="1"/>
    <col min="5634" max="5636" width="14.44140625" style="1" bestFit="1" customWidth="1"/>
    <col min="5637" max="5637" width="10.6640625" style="1" bestFit="1" customWidth="1"/>
    <col min="5638" max="5638" width="12.44140625" style="1" bestFit="1" customWidth="1"/>
    <col min="5639" max="5881" width="9.109375" style="1"/>
    <col min="5882" max="5882" width="13.44140625" style="1" customWidth="1"/>
    <col min="5883" max="5883" width="71.6640625" style="1" customWidth="1"/>
    <col min="5884" max="5884" width="8" style="1" customWidth="1"/>
    <col min="5885" max="5885" width="10.44140625" style="1" customWidth="1"/>
    <col min="5886" max="5886" width="17.109375" style="1" customWidth="1"/>
    <col min="5887" max="5887" width="22" style="1" customWidth="1"/>
    <col min="5888" max="5888" width="9.109375" style="1"/>
    <col min="5889" max="5889" width="9.44140625" style="1" customWidth="1"/>
    <col min="5890" max="5892" width="14.44140625" style="1" bestFit="1" customWidth="1"/>
    <col min="5893" max="5893" width="10.6640625" style="1" bestFit="1" customWidth="1"/>
    <col min="5894" max="5894" width="12.44140625" style="1" bestFit="1" customWidth="1"/>
    <col min="5895" max="6137" width="9.109375" style="1"/>
    <col min="6138" max="6138" width="13.44140625" style="1" customWidth="1"/>
    <col min="6139" max="6139" width="71.6640625" style="1" customWidth="1"/>
    <col min="6140" max="6140" width="8" style="1" customWidth="1"/>
    <col min="6141" max="6141" width="10.44140625" style="1" customWidth="1"/>
    <col min="6142" max="6142" width="17.109375" style="1" customWidth="1"/>
    <col min="6143" max="6143" width="22" style="1" customWidth="1"/>
    <col min="6144" max="6144" width="9.109375" style="1"/>
    <col min="6145" max="6145" width="9.44140625" style="1" customWidth="1"/>
    <col min="6146" max="6148" width="14.44140625" style="1" bestFit="1" customWidth="1"/>
    <col min="6149" max="6149" width="10.6640625" style="1" bestFit="1" customWidth="1"/>
    <col min="6150" max="6150" width="12.44140625" style="1" bestFit="1" customWidth="1"/>
    <col min="6151" max="6393" width="9.109375" style="1"/>
    <col min="6394" max="6394" width="13.44140625" style="1" customWidth="1"/>
    <col min="6395" max="6395" width="71.6640625" style="1" customWidth="1"/>
    <col min="6396" max="6396" width="8" style="1" customWidth="1"/>
    <col min="6397" max="6397" width="10.44140625" style="1" customWidth="1"/>
    <col min="6398" max="6398" width="17.109375" style="1" customWidth="1"/>
    <col min="6399" max="6399" width="22" style="1" customWidth="1"/>
    <col min="6400" max="6400" width="9.109375" style="1"/>
    <col min="6401" max="6401" width="9.44140625" style="1" customWidth="1"/>
    <col min="6402" max="6404" width="14.44140625" style="1" bestFit="1" customWidth="1"/>
    <col min="6405" max="6405" width="10.6640625" style="1" bestFit="1" customWidth="1"/>
    <col min="6406" max="6406" width="12.44140625" style="1" bestFit="1" customWidth="1"/>
    <col min="6407" max="6649" width="9.109375" style="1"/>
    <col min="6650" max="6650" width="13.44140625" style="1" customWidth="1"/>
    <col min="6651" max="6651" width="71.6640625" style="1" customWidth="1"/>
    <col min="6652" max="6652" width="8" style="1" customWidth="1"/>
    <col min="6653" max="6653" width="10.44140625" style="1" customWidth="1"/>
    <col min="6654" max="6654" width="17.109375" style="1" customWidth="1"/>
    <col min="6655" max="6655" width="22" style="1" customWidth="1"/>
    <col min="6656" max="6656" width="9.109375" style="1"/>
    <col min="6657" max="6657" width="9.44140625" style="1" customWidth="1"/>
    <col min="6658" max="6660" width="14.44140625" style="1" bestFit="1" customWidth="1"/>
    <col min="6661" max="6661" width="10.6640625" style="1" bestFit="1" customWidth="1"/>
    <col min="6662" max="6662" width="12.44140625" style="1" bestFit="1" customWidth="1"/>
    <col min="6663" max="6905" width="9.109375" style="1"/>
    <col min="6906" max="6906" width="13.44140625" style="1" customWidth="1"/>
    <col min="6907" max="6907" width="71.6640625" style="1" customWidth="1"/>
    <col min="6908" max="6908" width="8" style="1" customWidth="1"/>
    <col min="6909" max="6909" width="10.44140625" style="1" customWidth="1"/>
    <col min="6910" max="6910" width="17.109375" style="1" customWidth="1"/>
    <col min="6911" max="6911" width="22" style="1" customWidth="1"/>
    <col min="6912" max="6912" width="9.109375" style="1"/>
    <col min="6913" max="6913" width="9.44140625" style="1" customWidth="1"/>
    <col min="6914" max="6916" width="14.44140625" style="1" bestFit="1" customWidth="1"/>
    <col min="6917" max="6917" width="10.6640625" style="1" bestFit="1" customWidth="1"/>
    <col min="6918" max="6918" width="12.44140625" style="1" bestFit="1" customWidth="1"/>
    <col min="6919" max="7161" width="9.109375" style="1"/>
    <col min="7162" max="7162" width="13.44140625" style="1" customWidth="1"/>
    <col min="7163" max="7163" width="71.6640625" style="1" customWidth="1"/>
    <col min="7164" max="7164" width="8" style="1" customWidth="1"/>
    <col min="7165" max="7165" width="10.44140625" style="1" customWidth="1"/>
    <col min="7166" max="7166" width="17.109375" style="1" customWidth="1"/>
    <col min="7167" max="7167" width="22" style="1" customWidth="1"/>
    <col min="7168" max="7168" width="9.109375" style="1"/>
    <col min="7169" max="7169" width="9.44140625" style="1" customWidth="1"/>
    <col min="7170" max="7172" width="14.44140625" style="1" bestFit="1" customWidth="1"/>
    <col min="7173" max="7173" width="10.6640625" style="1" bestFit="1" customWidth="1"/>
    <col min="7174" max="7174" width="12.44140625" style="1" bestFit="1" customWidth="1"/>
    <col min="7175" max="7417" width="9.109375" style="1"/>
    <col min="7418" max="7418" width="13.44140625" style="1" customWidth="1"/>
    <col min="7419" max="7419" width="71.6640625" style="1" customWidth="1"/>
    <col min="7420" max="7420" width="8" style="1" customWidth="1"/>
    <col min="7421" max="7421" width="10.44140625" style="1" customWidth="1"/>
    <col min="7422" max="7422" width="17.109375" style="1" customWidth="1"/>
    <col min="7423" max="7423" width="22" style="1" customWidth="1"/>
    <col min="7424" max="7424" width="9.109375" style="1"/>
    <col min="7425" max="7425" width="9.44140625" style="1" customWidth="1"/>
    <col min="7426" max="7428" width="14.44140625" style="1" bestFit="1" customWidth="1"/>
    <col min="7429" max="7429" width="10.6640625" style="1" bestFit="1" customWidth="1"/>
    <col min="7430" max="7430" width="12.44140625" style="1" bestFit="1" customWidth="1"/>
    <col min="7431" max="7673" width="9.109375" style="1"/>
    <col min="7674" max="7674" width="13.44140625" style="1" customWidth="1"/>
    <col min="7675" max="7675" width="71.6640625" style="1" customWidth="1"/>
    <col min="7676" max="7676" width="8" style="1" customWidth="1"/>
    <col min="7677" max="7677" width="10.44140625" style="1" customWidth="1"/>
    <col min="7678" max="7678" width="17.109375" style="1" customWidth="1"/>
    <col min="7679" max="7679" width="22" style="1" customWidth="1"/>
    <col min="7680" max="7680" width="9.109375" style="1"/>
    <col min="7681" max="7681" width="9.44140625" style="1" customWidth="1"/>
    <col min="7682" max="7684" width="14.44140625" style="1" bestFit="1" customWidth="1"/>
    <col min="7685" max="7685" width="10.6640625" style="1" bestFit="1" customWidth="1"/>
    <col min="7686" max="7686" width="12.44140625" style="1" bestFit="1" customWidth="1"/>
    <col min="7687" max="7929" width="9.109375" style="1"/>
    <col min="7930" max="7930" width="13.44140625" style="1" customWidth="1"/>
    <col min="7931" max="7931" width="71.6640625" style="1" customWidth="1"/>
    <col min="7932" max="7932" width="8" style="1" customWidth="1"/>
    <col min="7933" max="7933" width="10.44140625" style="1" customWidth="1"/>
    <col min="7934" max="7934" width="17.109375" style="1" customWidth="1"/>
    <col min="7935" max="7935" width="22" style="1" customWidth="1"/>
    <col min="7936" max="7936" width="9.109375" style="1"/>
    <col min="7937" max="7937" width="9.44140625" style="1" customWidth="1"/>
    <col min="7938" max="7940" width="14.44140625" style="1" bestFit="1" customWidth="1"/>
    <col min="7941" max="7941" width="10.6640625" style="1" bestFit="1" customWidth="1"/>
    <col min="7942" max="7942" width="12.44140625" style="1" bestFit="1" customWidth="1"/>
    <col min="7943" max="8185" width="9.109375" style="1"/>
    <col min="8186" max="8186" width="13.44140625" style="1" customWidth="1"/>
    <col min="8187" max="8187" width="71.6640625" style="1" customWidth="1"/>
    <col min="8188" max="8188" width="8" style="1" customWidth="1"/>
    <col min="8189" max="8189" width="10.44140625" style="1" customWidth="1"/>
    <col min="8190" max="8190" width="17.109375" style="1" customWidth="1"/>
    <col min="8191" max="8191" width="22" style="1" customWidth="1"/>
    <col min="8192" max="8192" width="9.109375" style="1"/>
    <col min="8193" max="8193" width="9.44140625" style="1" customWidth="1"/>
    <col min="8194" max="8196" width="14.44140625" style="1" bestFit="1" customWidth="1"/>
    <col min="8197" max="8197" width="10.6640625" style="1" bestFit="1" customWidth="1"/>
    <col min="8198" max="8198" width="12.44140625" style="1" bestFit="1" customWidth="1"/>
    <col min="8199" max="8441" width="9.109375" style="1"/>
    <col min="8442" max="8442" width="13.44140625" style="1" customWidth="1"/>
    <col min="8443" max="8443" width="71.6640625" style="1" customWidth="1"/>
    <col min="8444" max="8444" width="8" style="1" customWidth="1"/>
    <col min="8445" max="8445" width="10.44140625" style="1" customWidth="1"/>
    <col min="8446" max="8446" width="17.109375" style="1" customWidth="1"/>
    <col min="8447" max="8447" width="22" style="1" customWidth="1"/>
    <col min="8448" max="8448" width="9.109375" style="1"/>
    <col min="8449" max="8449" width="9.44140625" style="1" customWidth="1"/>
    <col min="8450" max="8452" width="14.44140625" style="1" bestFit="1" customWidth="1"/>
    <col min="8453" max="8453" width="10.6640625" style="1" bestFit="1" customWidth="1"/>
    <col min="8454" max="8454" width="12.44140625" style="1" bestFit="1" customWidth="1"/>
    <col min="8455" max="8697" width="9.109375" style="1"/>
    <col min="8698" max="8698" width="13.44140625" style="1" customWidth="1"/>
    <col min="8699" max="8699" width="71.6640625" style="1" customWidth="1"/>
    <col min="8700" max="8700" width="8" style="1" customWidth="1"/>
    <col min="8701" max="8701" width="10.44140625" style="1" customWidth="1"/>
    <col min="8702" max="8702" width="17.109375" style="1" customWidth="1"/>
    <col min="8703" max="8703" width="22" style="1" customWidth="1"/>
    <col min="8704" max="8704" width="9.109375" style="1"/>
    <col min="8705" max="8705" width="9.44140625" style="1" customWidth="1"/>
    <col min="8706" max="8708" width="14.44140625" style="1" bestFit="1" customWidth="1"/>
    <col min="8709" max="8709" width="10.6640625" style="1" bestFit="1" customWidth="1"/>
    <col min="8710" max="8710" width="12.44140625" style="1" bestFit="1" customWidth="1"/>
    <col min="8711" max="8953" width="9.109375" style="1"/>
    <col min="8954" max="8954" width="13.44140625" style="1" customWidth="1"/>
    <col min="8955" max="8955" width="71.6640625" style="1" customWidth="1"/>
    <col min="8956" max="8956" width="8" style="1" customWidth="1"/>
    <col min="8957" max="8957" width="10.44140625" style="1" customWidth="1"/>
    <col min="8958" max="8958" width="17.109375" style="1" customWidth="1"/>
    <col min="8959" max="8959" width="22" style="1" customWidth="1"/>
    <col min="8960" max="8960" width="9.109375" style="1"/>
    <col min="8961" max="8961" width="9.44140625" style="1" customWidth="1"/>
    <col min="8962" max="8964" width="14.44140625" style="1" bestFit="1" customWidth="1"/>
    <col min="8965" max="8965" width="10.6640625" style="1" bestFit="1" customWidth="1"/>
    <col min="8966" max="8966" width="12.44140625" style="1" bestFit="1" customWidth="1"/>
    <col min="8967" max="9209" width="9.109375" style="1"/>
    <col min="9210" max="9210" width="13.44140625" style="1" customWidth="1"/>
    <col min="9211" max="9211" width="71.6640625" style="1" customWidth="1"/>
    <col min="9212" max="9212" width="8" style="1" customWidth="1"/>
    <col min="9213" max="9213" width="10.44140625" style="1" customWidth="1"/>
    <col min="9214" max="9214" width="17.109375" style="1" customWidth="1"/>
    <col min="9215" max="9215" width="22" style="1" customWidth="1"/>
    <col min="9216" max="9216" width="9.109375" style="1"/>
    <col min="9217" max="9217" width="9.44140625" style="1" customWidth="1"/>
    <col min="9218" max="9220" width="14.44140625" style="1" bestFit="1" customWidth="1"/>
    <col min="9221" max="9221" width="10.6640625" style="1" bestFit="1" customWidth="1"/>
    <col min="9222" max="9222" width="12.44140625" style="1" bestFit="1" customWidth="1"/>
    <col min="9223" max="9465" width="9.109375" style="1"/>
    <col min="9466" max="9466" width="13.44140625" style="1" customWidth="1"/>
    <col min="9467" max="9467" width="71.6640625" style="1" customWidth="1"/>
    <col min="9468" max="9468" width="8" style="1" customWidth="1"/>
    <col min="9469" max="9469" width="10.44140625" style="1" customWidth="1"/>
    <col min="9470" max="9470" width="17.109375" style="1" customWidth="1"/>
    <col min="9471" max="9471" width="22" style="1" customWidth="1"/>
    <col min="9472" max="9472" width="9.109375" style="1"/>
    <col min="9473" max="9473" width="9.44140625" style="1" customWidth="1"/>
    <col min="9474" max="9476" width="14.44140625" style="1" bestFit="1" customWidth="1"/>
    <col min="9477" max="9477" width="10.6640625" style="1" bestFit="1" customWidth="1"/>
    <col min="9478" max="9478" width="12.44140625" style="1" bestFit="1" customWidth="1"/>
    <col min="9479" max="9721" width="9.109375" style="1"/>
    <col min="9722" max="9722" width="13.44140625" style="1" customWidth="1"/>
    <col min="9723" max="9723" width="71.6640625" style="1" customWidth="1"/>
    <col min="9724" max="9724" width="8" style="1" customWidth="1"/>
    <col min="9725" max="9725" width="10.44140625" style="1" customWidth="1"/>
    <col min="9726" max="9726" width="17.109375" style="1" customWidth="1"/>
    <col min="9727" max="9727" width="22" style="1" customWidth="1"/>
    <col min="9728" max="9728" width="9.109375" style="1"/>
    <col min="9729" max="9729" width="9.44140625" style="1" customWidth="1"/>
    <col min="9730" max="9732" width="14.44140625" style="1" bestFit="1" customWidth="1"/>
    <col min="9733" max="9733" width="10.6640625" style="1" bestFit="1" customWidth="1"/>
    <col min="9734" max="9734" width="12.44140625" style="1" bestFit="1" customWidth="1"/>
    <col min="9735" max="9977" width="9.109375" style="1"/>
    <col min="9978" max="9978" width="13.44140625" style="1" customWidth="1"/>
    <col min="9979" max="9979" width="71.6640625" style="1" customWidth="1"/>
    <col min="9980" max="9980" width="8" style="1" customWidth="1"/>
    <col min="9981" max="9981" width="10.44140625" style="1" customWidth="1"/>
    <col min="9982" max="9982" width="17.109375" style="1" customWidth="1"/>
    <col min="9983" max="9983" width="22" style="1" customWidth="1"/>
    <col min="9984" max="9984" width="9.109375" style="1"/>
    <col min="9985" max="9985" width="9.44140625" style="1" customWidth="1"/>
    <col min="9986" max="9988" width="14.44140625" style="1" bestFit="1" customWidth="1"/>
    <col min="9989" max="9989" width="10.6640625" style="1" bestFit="1" customWidth="1"/>
    <col min="9990" max="9990" width="12.44140625" style="1" bestFit="1" customWidth="1"/>
    <col min="9991" max="10233" width="9.109375" style="1"/>
    <col min="10234" max="10234" width="13.44140625" style="1" customWidth="1"/>
    <col min="10235" max="10235" width="71.6640625" style="1" customWidth="1"/>
    <col min="10236" max="10236" width="8" style="1" customWidth="1"/>
    <col min="10237" max="10237" width="10.44140625" style="1" customWidth="1"/>
    <col min="10238" max="10238" width="17.109375" style="1" customWidth="1"/>
    <col min="10239" max="10239" width="22" style="1" customWidth="1"/>
    <col min="10240" max="10240" width="9.109375" style="1"/>
    <col min="10241" max="10241" width="9.44140625" style="1" customWidth="1"/>
    <col min="10242" max="10244" width="14.44140625" style="1" bestFit="1" customWidth="1"/>
    <col min="10245" max="10245" width="10.6640625" style="1" bestFit="1" customWidth="1"/>
    <col min="10246" max="10246" width="12.44140625" style="1" bestFit="1" customWidth="1"/>
    <col min="10247" max="10489" width="9.109375" style="1"/>
    <col min="10490" max="10490" width="13.44140625" style="1" customWidth="1"/>
    <col min="10491" max="10491" width="71.6640625" style="1" customWidth="1"/>
    <col min="10492" max="10492" width="8" style="1" customWidth="1"/>
    <col min="10493" max="10493" width="10.44140625" style="1" customWidth="1"/>
    <col min="10494" max="10494" width="17.109375" style="1" customWidth="1"/>
    <col min="10495" max="10495" width="22" style="1" customWidth="1"/>
    <col min="10496" max="10496" width="9.109375" style="1"/>
    <col min="10497" max="10497" width="9.44140625" style="1" customWidth="1"/>
    <col min="10498" max="10500" width="14.44140625" style="1" bestFit="1" customWidth="1"/>
    <col min="10501" max="10501" width="10.6640625" style="1" bestFit="1" customWidth="1"/>
    <col min="10502" max="10502" width="12.44140625" style="1" bestFit="1" customWidth="1"/>
    <col min="10503" max="10745" width="9.109375" style="1"/>
    <col min="10746" max="10746" width="13.44140625" style="1" customWidth="1"/>
    <col min="10747" max="10747" width="71.6640625" style="1" customWidth="1"/>
    <col min="10748" max="10748" width="8" style="1" customWidth="1"/>
    <col min="10749" max="10749" width="10.44140625" style="1" customWidth="1"/>
    <col min="10750" max="10750" width="17.109375" style="1" customWidth="1"/>
    <col min="10751" max="10751" width="22" style="1" customWidth="1"/>
    <col min="10752" max="10752" width="9.109375" style="1"/>
    <col min="10753" max="10753" width="9.44140625" style="1" customWidth="1"/>
    <col min="10754" max="10756" width="14.44140625" style="1" bestFit="1" customWidth="1"/>
    <col min="10757" max="10757" width="10.6640625" style="1" bestFit="1" customWidth="1"/>
    <col min="10758" max="10758" width="12.44140625" style="1" bestFit="1" customWidth="1"/>
    <col min="10759" max="11001" width="9.109375" style="1"/>
    <col min="11002" max="11002" width="13.44140625" style="1" customWidth="1"/>
    <col min="11003" max="11003" width="71.6640625" style="1" customWidth="1"/>
    <col min="11004" max="11004" width="8" style="1" customWidth="1"/>
    <col min="11005" max="11005" width="10.44140625" style="1" customWidth="1"/>
    <col min="11006" max="11006" width="17.109375" style="1" customWidth="1"/>
    <col min="11007" max="11007" width="22" style="1" customWidth="1"/>
    <col min="11008" max="11008" width="9.109375" style="1"/>
    <col min="11009" max="11009" width="9.44140625" style="1" customWidth="1"/>
    <col min="11010" max="11012" width="14.44140625" style="1" bestFit="1" customWidth="1"/>
    <col min="11013" max="11013" width="10.6640625" style="1" bestFit="1" customWidth="1"/>
    <col min="11014" max="11014" width="12.44140625" style="1" bestFit="1" customWidth="1"/>
    <col min="11015" max="11257" width="9.109375" style="1"/>
    <col min="11258" max="11258" width="13.44140625" style="1" customWidth="1"/>
    <col min="11259" max="11259" width="71.6640625" style="1" customWidth="1"/>
    <col min="11260" max="11260" width="8" style="1" customWidth="1"/>
    <col min="11261" max="11261" width="10.44140625" style="1" customWidth="1"/>
    <col min="11262" max="11262" width="17.109375" style="1" customWidth="1"/>
    <col min="11263" max="11263" width="22" style="1" customWidth="1"/>
    <col min="11264" max="11264" width="9.109375" style="1"/>
    <col min="11265" max="11265" width="9.44140625" style="1" customWidth="1"/>
    <col min="11266" max="11268" width="14.44140625" style="1" bestFit="1" customWidth="1"/>
    <col min="11269" max="11269" width="10.6640625" style="1" bestFit="1" customWidth="1"/>
    <col min="11270" max="11270" width="12.44140625" style="1" bestFit="1" customWidth="1"/>
    <col min="11271" max="11513" width="9.109375" style="1"/>
    <col min="11514" max="11514" width="13.44140625" style="1" customWidth="1"/>
    <col min="11515" max="11515" width="71.6640625" style="1" customWidth="1"/>
    <col min="11516" max="11516" width="8" style="1" customWidth="1"/>
    <col min="11517" max="11517" width="10.44140625" style="1" customWidth="1"/>
    <col min="11518" max="11518" width="17.109375" style="1" customWidth="1"/>
    <col min="11519" max="11519" width="22" style="1" customWidth="1"/>
    <col min="11520" max="11520" width="9.109375" style="1"/>
    <col min="11521" max="11521" width="9.44140625" style="1" customWidth="1"/>
    <col min="11522" max="11524" width="14.44140625" style="1" bestFit="1" customWidth="1"/>
    <col min="11525" max="11525" width="10.6640625" style="1" bestFit="1" customWidth="1"/>
    <col min="11526" max="11526" width="12.44140625" style="1" bestFit="1" customWidth="1"/>
    <col min="11527" max="11769" width="9.109375" style="1"/>
    <col min="11770" max="11770" width="13.44140625" style="1" customWidth="1"/>
    <col min="11771" max="11771" width="71.6640625" style="1" customWidth="1"/>
    <col min="11772" max="11772" width="8" style="1" customWidth="1"/>
    <col min="11773" max="11773" width="10.44140625" style="1" customWidth="1"/>
    <col min="11774" max="11774" width="17.109375" style="1" customWidth="1"/>
    <col min="11775" max="11775" width="22" style="1" customWidth="1"/>
    <col min="11776" max="11776" width="9.109375" style="1"/>
    <col min="11777" max="11777" width="9.44140625" style="1" customWidth="1"/>
    <col min="11778" max="11780" width="14.44140625" style="1" bestFit="1" customWidth="1"/>
    <col min="11781" max="11781" width="10.6640625" style="1" bestFit="1" customWidth="1"/>
    <col min="11782" max="11782" width="12.44140625" style="1" bestFit="1" customWidth="1"/>
    <col min="11783" max="12025" width="9.109375" style="1"/>
    <col min="12026" max="12026" width="13.44140625" style="1" customWidth="1"/>
    <col min="12027" max="12027" width="71.6640625" style="1" customWidth="1"/>
    <col min="12028" max="12028" width="8" style="1" customWidth="1"/>
    <col min="12029" max="12029" width="10.44140625" style="1" customWidth="1"/>
    <col min="12030" max="12030" width="17.109375" style="1" customWidth="1"/>
    <col min="12031" max="12031" width="22" style="1" customWidth="1"/>
    <col min="12032" max="12032" width="9.109375" style="1"/>
    <col min="12033" max="12033" width="9.44140625" style="1" customWidth="1"/>
    <col min="12034" max="12036" width="14.44140625" style="1" bestFit="1" customWidth="1"/>
    <col min="12037" max="12037" width="10.6640625" style="1" bestFit="1" customWidth="1"/>
    <col min="12038" max="12038" width="12.44140625" style="1" bestFit="1" customWidth="1"/>
    <col min="12039" max="12281" width="9.109375" style="1"/>
    <col min="12282" max="12282" width="13.44140625" style="1" customWidth="1"/>
    <col min="12283" max="12283" width="71.6640625" style="1" customWidth="1"/>
    <col min="12284" max="12284" width="8" style="1" customWidth="1"/>
    <col min="12285" max="12285" width="10.44140625" style="1" customWidth="1"/>
    <col min="12286" max="12286" width="17.109375" style="1" customWidth="1"/>
    <col min="12287" max="12287" width="22" style="1" customWidth="1"/>
    <col min="12288" max="12288" width="9.109375" style="1"/>
    <col min="12289" max="12289" width="9.44140625" style="1" customWidth="1"/>
    <col min="12290" max="12292" width="14.44140625" style="1" bestFit="1" customWidth="1"/>
    <col min="12293" max="12293" width="10.6640625" style="1" bestFit="1" customWidth="1"/>
    <col min="12294" max="12294" width="12.44140625" style="1" bestFit="1" customWidth="1"/>
    <col min="12295" max="12537" width="9.109375" style="1"/>
    <col min="12538" max="12538" width="13.44140625" style="1" customWidth="1"/>
    <col min="12539" max="12539" width="71.6640625" style="1" customWidth="1"/>
    <col min="12540" max="12540" width="8" style="1" customWidth="1"/>
    <col min="12541" max="12541" width="10.44140625" style="1" customWidth="1"/>
    <col min="12542" max="12542" width="17.109375" style="1" customWidth="1"/>
    <col min="12543" max="12543" width="22" style="1" customWidth="1"/>
    <col min="12544" max="12544" width="9.109375" style="1"/>
    <col min="12545" max="12545" width="9.44140625" style="1" customWidth="1"/>
    <col min="12546" max="12548" width="14.44140625" style="1" bestFit="1" customWidth="1"/>
    <col min="12549" max="12549" width="10.6640625" style="1" bestFit="1" customWidth="1"/>
    <col min="12550" max="12550" width="12.44140625" style="1" bestFit="1" customWidth="1"/>
    <col min="12551" max="12793" width="9.109375" style="1"/>
    <col min="12794" max="12794" width="13.44140625" style="1" customWidth="1"/>
    <col min="12795" max="12795" width="71.6640625" style="1" customWidth="1"/>
    <col min="12796" max="12796" width="8" style="1" customWidth="1"/>
    <col min="12797" max="12797" width="10.44140625" style="1" customWidth="1"/>
    <col min="12798" max="12798" width="17.109375" style="1" customWidth="1"/>
    <col min="12799" max="12799" width="22" style="1" customWidth="1"/>
    <col min="12800" max="12800" width="9.109375" style="1"/>
    <col min="12801" max="12801" width="9.44140625" style="1" customWidth="1"/>
    <col min="12802" max="12804" width="14.44140625" style="1" bestFit="1" customWidth="1"/>
    <col min="12805" max="12805" width="10.6640625" style="1" bestFit="1" customWidth="1"/>
    <col min="12806" max="12806" width="12.44140625" style="1" bestFit="1" customWidth="1"/>
    <col min="12807" max="13049" width="9.109375" style="1"/>
    <col min="13050" max="13050" width="13.44140625" style="1" customWidth="1"/>
    <col min="13051" max="13051" width="71.6640625" style="1" customWidth="1"/>
    <col min="13052" max="13052" width="8" style="1" customWidth="1"/>
    <col min="13053" max="13053" width="10.44140625" style="1" customWidth="1"/>
    <col min="13054" max="13054" width="17.109375" style="1" customWidth="1"/>
    <col min="13055" max="13055" width="22" style="1" customWidth="1"/>
    <col min="13056" max="13056" width="9.109375" style="1"/>
    <col min="13057" max="13057" width="9.44140625" style="1" customWidth="1"/>
    <col min="13058" max="13060" width="14.44140625" style="1" bestFit="1" customWidth="1"/>
    <col min="13061" max="13061" width="10.6640625" style="1" bestFit="1" customWidth="1"/>
    <col min="13062" max="13062" width="12.44140625" style="1" bestFit="1" customWidth="1"/>
    <col min="13063" max="13305" width="9.109375" style="1"/>
    <col min="13306" max="13306" width="13.44140625" style="1" customWidth="1"/>
    <col min="13307" max="13307" width="71.6640625" style="1" customWidth="1"/>
    <col min="13308" max="13308" width="8" style="1" customWidth="1"/>
    <col min="13309" max="13309" width="10.44140625" style="1" customWidth="1"/>
    <col min="13310" max="13310" width="17.109375" style="1" customWidth="1"/>
    <col min="13311" max="13311" width="22" style="1" customWidth="1"/>
    <col min="13312" max="13312" width="9.109375" style="1"/>
    <col min="13313" max="13313" width="9.44140625" style="1" customWidth="1"/>
    <col min="13314" max="13316" width="14.44140625" style="1" bestFit="1" customWidth="1"/>
    <col min="13317" max="13317" width="10.6640625" style="1" bestFit="1" customWidth="1"/>
    <col min="13318" max="13318" width="12.44140625" style="1" bestFit="1" customWidth="1"/>
    <col min="13319" max="13561" width="9.109375" style="1"/>
    <col min="13562" max="13562" width="13.44140625" style="1" customWidth="1"/>
    <col min="13563" max="13563" width="71.6640625" style="1" customWidth="1"/>
    <col min="13564" max="13564" width="8" style="1" customWidth="1"/>
    <col min="13565" max="13565" width="10.44140625" style="1" customWidth="1"/>
    <col min="13566" max="13566" width="17.109375" style="1" customWidth="1"/>
    <col min="13567" max="13567" width="22" style="1" customWidth="1"/>
    <col min="13568" max="13568" width="9.109375" style="1"/>
    <col min="13569" max="13569" width="9.44140625" style="1" customWidth="1"/>
    <col min="13570" max="13572" width="14.44140625" style="1" bestFit="1" customWidth="1"/>
    <col min="13573" max="13573" width="10.6640625" style="1" bestFit="1" customWidth="1"/>
    <col min="13574" max="13574" width="12.44140625" style="1" bestFit="1" customWidth="1"/>
    <col min="13575" max="13817" width="9.109375" style="1"/>
    <col min="13818" max="13818" width="13.44140625" style="1" customWidth="1"/>
    <col min="13819" max="13819" width="71.6640625" style="1" customWidth="1"/>
    <col min="13820" max="13820" width="8" style="1" customWidth="1"/>
    <col min="13821" max="13821" width="10.44140625" style="1" customWidth="1"/>
    <col min="13822" max="13822" width="17.109375" style="1" customWidth="1"/>
    <col min="13823" max="13823" width="22" style="1" customWidth="1"/>
    <col min="13824" max="13824" width="9.109375" style="1"/>
    <col min="13825" max="13825" width="9.44140625" style="1" customWidth="1"/>
    <col min="13826" max="13828" width="14.44140625" style="1" bestFit="1" customWidth="1"/>
    <col min="13829" max="13829" width="10.6640625" style="1" bestFit="1" customWidth="1"/>
    <col min="13830" max="13830" width="12.44140625" style="1" bestFit="1" customWidth="1"/>
    <col min="13831" max="14073" width="9.109375" style="1"/>
    <col min="14074" max="14074" width="13.44140625" style="1" customWidth="1"/>
    <col min="14075" max="14075" width="71.6640625" style="1" customWidth="1"/>
    <col min="14076" max="14076" width="8" style="1" customWidth="1"/>
    <col min="14077" max="14077" width="10.44140625" style="1" customWidth="1"/>
    <col min="14078" max="14078" width="17.109375" style="1" customWidth="1"/>
    <col min="14079" max="14079" width="22" style="1" customWidth="1"/>
    <col min="14080" max="14080" width="9.109375" style="1"/>
    <col min="14081" max="14081" width="9.44140625" style="1" customWidth="1"/>
    <col min="14082" max="14084" width="14.44140625" style="1" bestFit="1" customWidth="1"/>
    <col min="14085" max="14085" width="10.6640625" style="1" bestFit="1" customWidth="1"/>
    <col min="14086" max="14086" width="12.44140625" style="1" bestFit="1" customWidth="1"/>
    <col min="14087" max="14329" width="9.109375" style="1"/>
    <col min="14330" max="14330" width="13.44140625" style="1" customWidth="1"/>
    <col min="14331" max="14331" width="71.6640625" style="1" customWidth="1"/>
    <col min="14332" max="14332" width="8" style="1" customWidth="1"/>
    <col min="14333" max="14333" width="10.44140625" style="1" customWidth="1"/>
    <col min="14334" max="14334" width="17.109375" style="1" customWidth="1"/>
    <col min="14335" max="14335" width="22" style="1" customWidth="1"/>
    <col min="14336" max="14336" width="9.109375" style="1"/>
    <col min="14337" max="14337" width="9.44140625" style="1" customWidth="1"/>
    <col min="14338" max="14340" width="14.44140625" style="1" bestFit="1" customWidth="1"/>
    <col min="14341" max="14341" width="10.6640625" style="1" bestFit="1" customWidth="1"/>
    <col min="14342" max="14342" width="12.44140625" style="1" bestFit="1" customWidth="1"/>
    <col min="14343" max="14585" width="9.109375" style="1"/>
    <col min="14586" max="14586" width="13.44140625" style="1" customWidth="1"/>
    <col min="14587" max="14587" width="71.6640625" style="1" customWidth="1"/>
    <col min="14588" max="14588" width="8" style="1" customWidth="1"/>
    <col min="14589" max="14589" width="10.44140625" style="1" customWidth="1"/>
    <col min="14590" max="14590" width="17.109375" style="1" customWidth="1"/>
    <col min="14591" max="14591" width="22" style="1" customWidth="1"/>
    <col min="14592" max="14592" width="9.109375" style="1"/>
    <col min="14593" max="14593" width="9.44140625" style="1" customWidth="1"/>
    <col min="14594" max="14596" width="14.44140625" style="1" bestFit="1" customWidth="1"/>
    <col min="14597" max="14597" width="10.6640625" style="1" bestFit="1" customWidth="1"/>
    <col min="14598" max="14598" width="12.44140625" style="1" bestFit="1" customWidth="1"/>
    <col min="14599" max="14841" width="9.109375" style="1"/>
    <col min="14842" max="14842" width="13.44140625" style="1" customWidth="1"/>
    <col min="14843" max="14843" width="71.6640625" style="1" customWidth="1"/>
    <col min="14844" max="14844" width="8" style="1" customWidth="1"/>
    <col min="14845" max="14845" width="10.44140625" style="1" customWidth="1"/>
    <col min="14846" max="14846" width="17.109375" style="1" customWidth="1"/>
    <col min="14847" max="14847" width="22" style="1" customWidth="1"/>
    <col min="14848" max="14848" width="9.109375" style="1"/>
    <col min="14849" max="14849" width="9.44140625" style="1" customWidth="1"/>
    <col min="14850" max="14852" width="14.44140625" style="1" bestFit="1" customWidth="1"/>
    <col min="14853" max="14853" width="10.6640625" style="1" bestFit="1" customWidth="1"/>
    <col min="14854" max="14854" width="12.44140625" style="1" bestFit="1" customWidth="1"/>
    <col min="14855" max="15097" width="9.109375" style="1"/>
    <col min="15098" max="15098" width="13.44140625" style="1" customWidth="1"/>
    <col min="15099" max="15099" width="71.6640625" style="1" customWidth="1"/>
    <col min="15100" max="15100" width="8" style="1" customWidth="1"/>
    <col min="15101" max="15101" width="10.44140625" style="1" customWidth="1"/>
    <col min="15102" max="15102" width="17.109375" style="1" customWidth="1"/>
    <col min="15103" max="15103" width="22" style="1" customWidth="1"/>
    <col min="15104" max="15104" width="9.109375" style="1"/>
    <col min="15105" max="15105" width="9.44140625" style="1" customWidth="1"/>
    <col min="15106" max="15108" width="14.44140625" style="1" bestFit="1" customWidth="1"/>
    <col min="15109" max="15109" width="10.6640625" style="1" bestFit="1" customWidth="1"/>
    <col min="15110" max="15110" width="12.44140625" style="1" bestFit="1" customWidth="1"/>
    <col min="15111" max="15353" width="9.109375" style="1"/>
    <col min="15354" max="15354" width="13.44140625" style="1" customWidth="1"/>
    <col min="15355" max="15355" width="71.6640625" style="1" customWidth="1"/>
    <col min="15356" max="15356" width="8" style="1" customWidth="1"/>
    <col min="15357" max="15357" width="10.44140625" style="1" customWidth="1"/>
    <col min="15358" max="15358" width="17.109375" style="1" customWidth="1"/>
    <col min="15359" max="15359" width="22" style="1" customWidth="1"/>
    <col min="15360" max="15360" width="9.109375" style="1"/>
    <col min="15361" max="15361" width="9.44140625" style="1" customWidth="1"/>
    <col min="15362" max="15364" width="14.44140625" style="1" bestFit="1" customWidth="1"/>
    <col min="15365" max="15365" width="10.6640625" style="1" bestFit="1" customWidth="1"/>
    <col min="15366" max="15366" width="12.44140625" style="1" bestFit="1" customWidth="1"/>
    <col min="15367" max="15609" width="9.109375" style="1"/>
    <col min="15610" max="15610" width="13.44140625" style="1" customWidth="1"/>
    <col min="15611" max="15611" width="71.6640625" style="1" customWidth="1"/>
    <col min="15612" max="15612" width="8" style="1" customWidth="1"/>
    <col min="15613" max="15613" width="10.44140625" style="1" customWidth="1"/>
    <col min="15614" max="15614" width="17.109375" style="1" customWidth="1"/>
    <col min="15615" max="15615" width="22" style="1" customWidth="1"/>
    <col min="15616" max="15616" width="9.109375" style="1"/>
    <col min="15617" max="15617" width="9.44140625" style="1" customWidth="1"/>
    <col min="15618" max="15620" width="14.44140625" style="1" bestFit="1" customWidth="1"/>
    <col min="15621" max="15621" width="10.6640625" style="1" bestFit="1" customWidth="1"/>
    <col min="15622" max="15622" width="12.44140625" style="1" bestFit="1" customWidth="1"/>
    <col min="15623" max="15865" width="9.109375" style="1"/>
    <col min="15866" max="15866" width="13.44140625" style="1" customWidth="1"/>
    <col min="15867" max="15867" width="71.6640625" style="1" customWidth="1"/>
    <col min="15868" max="15868" width="8" style="1" customWidth="1"/>
    <col min="15869" max="15869" width="10.44140625" style="1" customWidth="1"/>
    <col min="15870" max="15870" width="17.109375" style="1" customWidth="1"/>
    <col min="15871" max="15871" width="22" style="1" customWidth="1"/>
    <col min="15872" max="15872" width="9.109375" style="1"/>
    <col min="15873" max="15873" width="9.44140625" style="1" customWidth="1"/>
    <col min="15874" max="15876" width="14.44140625" style="1" bestFit="1" customWidth="1"/>
    <col min="15877" max="15877" width="10.6640625" style="1" bestFit="1" customWidth="1"/>
    <col min="15878" max="15878" width="12.44140625" style="1" bestFit="1" customWidth="1"/>
    <col min="15879" max="16121" width="9.109375" style="1"/>
    <col min="16122" max="16122" width="13.44140625" style="1" customWidth="1"/>
    <col min="16123" max="16123" width="71.6640625" style="1" customWidth="1"/>
    <col min="16124" max="16124" width="8" style="1" customWidth="1"/>
    <col min="16125" max="16125" width="10.44140625" style="1" customWidth="1"/>
    <col min="16126" max="16126" width="17.109375" style="1" customWidth="1"/>
    <col min="16127" max="16127" width="22" style="1" customWidth="1"/>
    <col min="16128" max="16128" width="9.109375" style="1"/>
    <col min="16129" max="16129" width="9.44140625" style="1" customWidth="1"/>
    <col min="16130" max="16132" width="14.44140625" style="1" bestFit="1" customWidth="1"/>
    <col min="16133" max="16133" width="10.6640625" style="1" bestFit="1" customWidth="1"/>
    <col min="16134" max="16134" width="12.44140625" style="1" bestFit="1" customWidth="1"/>
    <col min="16135" max="16384" width="9.109375" style="1"/>
  </cols>
  <sheetData>
    <row r="1" spans="1:6">
      <c r="A1" s="174"/>
      <c r="B1" s="174"/>
      <c r="C1" s="174"/>
    </row>
    <row r="2" spans="1:6">
      <c r="A2" s="175"/>
      <c r="B2" s="175"/>
      <c r="C2" s="175"/>
    </row>
    <row r="3" spans="1:6">
      <c r="B3" s="1"/>
    </row>
    <row r="4" spans="1:6">
      <c r="A4" s="174" t="s">
        <v>6</v>
      </c>
      <c r="B4" s="174"/>
      <c r="C4" s="174"/>
    </row>
    <row r="5" spans="1:6" ht="23.4" thickBot="1">
      <c r="A5" s="173"/>
      <c r="B5" s="173"/>
      <c r="C5" s="173"/>
    </row>
    <row r="6" spans="1:6" ht="23.4" thickTop="1">
      <c r="A6" s="2" t="s">
        <v>160</v>
      </c>
      <c r="B6" s="3" t="s">
        <v>7</v>
      </c>
      <c r="C6" s="4">
        <f>BOQ!F7</f>
        <v>0</v>
      </c>
    </row>
    <row r="7" spans="1:6">
      <c r="A7" s="2" t="s">
        <v>161</v>
      </c>
      <c r="B7" s="3" t="s">
        <v>7</v>
      </c>
      <c r="C7" s="4">
        <f>BOQ!F37</f>
        <v>0</v>
      </c>
    </row>
    <row r="8" spans="1:6">
      <c r="A8" s="2" t="s">
        <v>162</v>
      </c>
      <c r="B8" s="3" t="s">
        <v>7</v>
      </c>
      <c r="C8" s="4">
        <f>BOQ!F59</f>
        <v>0</v>
      </c>
    </row>
    <row r="9" spans="1:6">
      <c r="A9" s="2" t="s">
        <v>163</v>
      </c>
      <c r="B9" s="3" t="s">
        <v>7</v>
      </c>
      <c r="C9" s="4">
        <f>BOQ!F114</f>
        <v>0</v>
      </c>
    </row>
    <row r="10" spans="1:6">
      <c r="A10" s="2" t="s">
        <v>164</v>
      </c>
      <c r="B10" s="3" t="s">
        <v>7</v>
      </c>
      <c r="C10" s="4">
        <f>BOQ!F119</f>
        <v>0</v>
      </c>
    </row>
    <row r="11" spans="1:6">
      <c r="A11" s="2" t="s">
        <v>165</v>
      </c>
      <c r="B11" s="3" t="s">
        <v>7</v>
      </c>
      <c r="C11" s="4">
        <f>BOQ!F173</f>
        <v>0</v>
      </c>
    </row>
    <row r="12" spans="1:6">
      <c r="A12" s="2" t="s">
        <v>166</v>
      </c>
      <c r="B12" s="3" t="s">
        <v>7</v>
      </c>
      <c r="C12" s="4">
        <f>BOQ!F181</f>
        <v>0</v>
      </c>
    </row>
    <row r="13" spans="1:6">
      <c r="A13" s="2" t="s">
        <v>167</v>
      </c>
      <c r="B13" s="3" t="s">
        <v>7</v>
      </c>
      <c r="C13" s="4">
        <f>BOQ!F212</f>
        <v>0</v>
      </c>
    </row>
    <row r="14" spans="1:6" ht="23.4" thickBot="1">
      <c r="A14" s="5"/>
      <c r="B14" s="3"/>
      <c r="C14" s="4"/>
    </row>
    <row r="15" spans="1:6" ht="24" thickTop="1" thickBot="1">
      <c r="A15" s="6" t="s">
        <v>45</v>
      </c>
      <c r="B15" s="7" t="s">
        <v>7</v>
      </c>
      <c r="C15" s="8">
        <f>SUM(C6:C13)</f>
        <v>0</v>
      </c>
      <c r="D15" s="18"/>
    </row>
    <row r="16" spans="1:6" ht="24" thickTop="1" thickBot="1">
      <c r="A16" s="6" t="s">
        <v>47</v>
      </c>
      <c r="B16" s="7" t="s">
        <v>7</v>
      </c>
      <c r="C16" s="8">
        <f>C15*0.15</f>
        <v>0</v>
      </c>
      <c r="D16" s="18"/>
      <c r="E16" s="18"/>
      <c r="F16" s="25"/>
    </row>
    <row r="17" spans="1:4" ht="24" thickTop="1" thickBot="1">
      <c r="A17" s="6"/>
      <c r="B17" s="7"/>
      <c r="C17" s="8"/>
      <c r="D17" s="18"/>
    </row>
    <row r="18" spans="1:4" ht="24" thickTop="1" thickBot="1">
      <c r="A18" s="6" t="s">
        <v>48</v>
      </c>
      <c r="B18" s="7" t="s">
        <v>7</v>
      </c>
      <c r="C18" s="8">
        <f>C15+C16</f>
        <v>0</v>
      </c>
      <c r="D18" s="18"/>
    </row>
    <row r="19" spans="1:4" ht="23.4" thickTop="1"/>
    <row r="32" spans="1:4">
      <c r="A32" s="176" t="s">
        <v>337</v>
      </c>
      <c r="B32" s="177"/>
      <c r="C32" s="178"/>
    </row>
    <row r="641" spans="5:5">
      <c r="E641" s="1">
        <v>2660</v>
      </c>
    </row>
    <row r="722" spans="4:5">
      <c r="D722" s="1">
        <v>60</v>
      </c>
      <c r="E722" s="1">
        <v>28500</v>
      </c>
    </row>
    <row r="729" spans="4:5">
      <c r="D729" s="1">
        <v>60</v>
      </c>
    </row>
  </sheetData>
  <mergeCells count="5">
    <mergeCell ref="A5:C5"/>
    <mergeCell ref="A1:C1"/>
    <mergeCell ref="A2:C2"/>
    <mergeCell ref="A4:C4"/>
    <mergeCell ref="A32:C32"/>
  </mergeCells>
  <pageMargins left="0.70866141732283505" right="0.70866141732283505" top="0.74803149606299202" bottom="0.74803149606299202" header="0.31496062992126" footer="0.31496062992126"/>
  <pageSetup scale="74" fitToHeight="0" orientation="portrait" r:id="rId1"/>
  <headerFooter>
    <oddHeader>&amp;A</oddHeader>
    <oddFooter>&amp;CPage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2"/>
  <sheetViews>
    <sheetView tabSelected="1" view="pageBreakPreview" zoomScaleNormal="80" zoomScaleSheetLayoutView="100" workbookViewId="0">
      <selection activeCell="F144" sqref="F144"/>
    </sheetView>
  </sheetViews>
  <sheetFormatPr defaultColWidth="9.109375" defaultRowHeight="14.4"/>
  <cols>
    <col min="1" max="1" width="11.6640625" style="99" customWidth="1"/>
    <col min="2" max="2" width="68.33203125" style="9" customWidth="1"/>
    <col min="3" max="3" width="7.33203125" style="24" customWidth="1"/>
    <col min="4" max="4" width="10.44140625" style="138" bestFit="1" customWidth="1"/>
    <col min="5" max="5" width="12.33203125" style="138" customWidth="1"/>
    <col min="6" max="6" width="13.6640625" style="138" bestFit="1" customWidth="1"/>
    <col min="7" max="7" width="11.33203125" style="9" bestFit="1" customWidth="1"/>
    <col min="8" max="8" width="12.44140625" style="9" bestFit="1" customWidth="1"/>
    <col min="9" max="9" width="9.109375" style="9"/>
    <col min="10" max="10" width="12.44140625" style="9" bestFit="1" customWidth="1"/>
    <col min="11" max="11" width="9.109375" style="9"/>
    <col min="12" max="12" width="11.6640625" style="9" bestFit="1" customWidth="1"/>
    <col min="13" max="13" width="11.33203125" style="9" bestFit="1" customWidth="1"/>
    <col min="14" max="16384" width="9.109375" style="9"/>
  </cols>
  <sheetData>
    <row r="1" spans="1:26" s="23" customFormat="1" ht="15" thickBot="1">
      <c r="A1" s="179" t="s">
        <v>336</v>
      </c>
      <c r="B1" s="179"/>
      <c r="C1" s="179"/>
      <c r="D1" s="179"/>
      <c r="E1" s="179"/>
      <c r="F1" s="179"/>
      <c r="G1" s="22"/>
    </row>
    <row r="2" spans="1:26" ht="15" thickBot="1">
      <c r="A2" s="95" t="s">
        <v>0</v>
      </c>
      <c r="B2" s="12" t="s">
        <v>1</v>
      </c>
      <c r="C2" s="19" t="s">
        <v>2</v>
      </c>
      <c r="D2" s="20" t="s">
        <v>3</v>
      </c>
      <c r="E2" s="20" t="s">
        <v>4</v>
      </c>
      <c r="F2" s="20" t="s">
        <v>3</v>
      </c>
    </row>
    <row r="3" spans="1:26" s="15" customFormat="1">
      <c r="A3" s="26" t="s">
        <v>49</v>
      </c>
      <c r="B3" s="13" t="s">
        <v>43</v>
      </c>
      <c r="C3" s="14"/>
      <c r="D3" s="122"/>
      <c r="E3" s="122"/>
      <c r="F3" s="123"/>
    </row>
    <row r="4" spans="1:26" s="15" customFormat="1">
      <c r="A4" s="26" t="s">
        <v>54</v>
      </c>
      <c r="B4" s="17" t="s">
        <v>46</v>
      </c>
      <c r="C4" s="14"/>
      <c r="D4" s="122"/>
      <c r="E4" s="122"/>
      <c r="F4" s="123"/>
      <c r="G4" s="9"/>
      <c r="H4" s="9"/>
      <c r="I4" s="9"/>
      <c r="J4" s="9"/>
      <c r="K4" s="9"/>
      <c r="L4" s="9"/>
    </row>
    <row r="5" spans="1:26" ht="46.95" customHeight="1">
      <c r="A5" s="96"/>
      <c r="B5" s="30" t="s">
        <v>120</v>
      </c>
      <c r="C5" s="16"/>
      <c r="D5" s="124"/>
      <c r="E5" s="125"/>
      <c r="F5" s="126"/>
    </row>
    <row r="6" spans="1:26" ht="15" customHeight="1" thickBot="1">
      <c r="A6" s="96" t="s">
        <v>55</v>
      </c>
      <c r="B6" s="30" t="s">
        <v>140</v>
      </c>
      <c r="C6" s="16" t="s">
        <v>5</v>
      </c>
      <c r="D6" s="124">
        <v>10</v>
      </c>
      <c r="E6" s="125"/>
      <c r="F6" s="126">
        <f>E6*D6</f>
        <v>0</v>
      </c>
    </row>
    <row r="7" spans="1:26" s="15" customFormat="1" ht="15" thickBot="1">
      <c r="A7" s="101" t="s">
        <v>49</v>
      </c>
      <c r="B7" s="88" t="s">
        <v>44</v>
      </c>
      <c r="C7" s="89"/>
      <c r="D7" s="127"/>
      <c r="E7" s="127"/>
      <c r="F7" s="128">
        <f>SUM(F4:F6)</f>
        <v>0</v>
      </c>
    </row>
    <row r="8" spans="1:26" customFormat="1" ht="15.75" customHeight="1">
      <c r="A8" s="106" t="s">
        <v>8</v>
      </c>
      <c r="B8" s="107" t="s">
        <v>12</v>
      </c>
      <c r="C8" s="108"/>
      <c r="D8" s="129"/>
      <c r="E8" s="129"/>
      <c r="F8" s="129"/>
      <c r="G8" s="109"/>
      <c r="H8" s="109"/>
      <c r="I8" s="109"/>
      <c r="J8" s="109"/>
      <c r="K8" s="109"/>
      <c r="L8" s="109"/>
      <c r="M8" s="109"/>
      <c r="N8" s="109"/>
      <c r="O8" s="109"/>
      <c r="P8" s="109"/>
      <c r="Q8" s="109"/>
      <c r="R8" s="109"/>
      <c r="S8" s="109"/>
      <c r="T8" s="109"/>
      <c r="U8" s="109"/>
      <c r="V8" s="109"/>
      <c r="W8" s="109"/>
      <c r="X8" s="109"/>
      <c r="Y8" s="109"/>
      <c r="Z8" s="109"/>
    </row>
    <row r="9" spans="1:26" customFormat="1" ht="15.75" customHeight="1">
      <c r="A9" s="110" t="s">
        <v>56</v>
      </c>
      <c r="B9" s="107" t="s">
        <v>155</v>
      </c>
      <c r="C9" s="108"/>
      <c r="D9" s="129"/>
      <c r="E9" s="129"/>
      <c r="F9" s="129"/>
      <c r="G9" s="109"/>
      <c r="H9" s="109"/>
      <c r="I9" s="109"/>
      <c r="J9" s="109"/>
      <c r="K9" s="109"/>
      <c r="L9" s="109"/>
      <c r="M9" s="109"/>
      <c r="N9" s="109"/>
      <c r="O9" s="109"/>
      <c r="P9" s="109"/>
      <c r="Q9" s="109"/>
      <c r="R9" s="109"/>
      <c r="S9" s="109"/>
      <c r="T9" s="109"/>
      <c r="U9" s="109"/>
      <c r="V9" s="109"/>
      <c r="W9" s="109"/>
      <c r="X9" s="109"/>
      <c r="Y9" s="109"/>
      <c r="Z9" s="109"/>
    </row>
    <row r="10" spans="1:26" customFormat="1" ht="88.95" customHeight="1">
      <c r="A10" s="111"/>
      <c r="B10" s="120" t="s">
        <v>335</v>
      </c>
      <c r="C10" s="113"/>
      <c r="D10" s="130"/>
      <c r="E10" s="131"/>
      <c r="F10" s="132"/>
      <c r="G10" s="109"/>
      <c r="H10" s="109"/>
      <c r="I10" s="109"/>
      <c r="J10" s="109"/>
      <c r="K10" s="109"/>
      <c r="L10" s="109"/>
      <c r="M10" s="109"/>
      <c r="N10" s="109"/>
      <c r="O10" s="109"/>
      <c r="P10" s="109"/>
      <c r="Q10" s="109"/>
      <c r="R10" s="109"/>
      <c r="S10" s="109"/>
      <c r="T10" s="109"/>
      <c r="U10" s="109"/>
      <c r="V10" s="109"/>
      <c r="W10" s="109"/>
      <c r="X10" s="109"/>
      <c r="Y10" s="109"/>
      <c r="Z10" s="109"/>
    </row>
    <row r="11" spans="1:26" customFormat="1" ht="91.95" customHeight="1">
      <c r="A11" s="111"/>
      <c r="B11" s="112" t="s">
        <v>156</v>
      </c>
      <c r="C11" s="113"/>
      <c r="D11" s="130"/>
      <c r="E11" s="131"/>
      <c r="F11" s="132"/>
      <c r="G11" s="109"/>
      <c r="H11" s="109"/>
      <c r="I11" s="109"/>
      <c r="J11" s="109"/>
      <c r="K11" s="109"/>
      <c r="L11" s="109"/>
      <c r="M11" s="109"/>
      <c r="N11" s="109"/>
      <c r="O11" s="109"/>
      <c r="P11" s="109"/>
      <c r="Q11" s="109"/>
      <c r="R11" s="109"/>
      <c r="S11" s="109"/>
      <c r="T11" s="109"/>
      <c r="U11" s="109"/>
      <c r="V11" s="109"/>
      <c r="W11" s="109"/>
      <c r="X11" s="109"/>
      <c r="Y11" s="109"/>
      <c r="Z11" s="109"/>
    </row>
    <row r="12" spans="1:26" customFormat="1" ht="15.75" customHeight="1">
      <c r="A12" s="114" t="s">
        <v>57</v>
      </c>
      <c r="B12" s="115" t="s">
        <v>157</v>
      </c>
      <c r="C12" s="116"/>
      <c r="D12" s="130"/>
      <c r="E12" s="131"/>
      <c r="F12" s="132"/>
      <c r="G12" s="109"/>
      <c r="H12" s="109"/>
      <c r="I12" s="109"/>
      <c r="J12" s="109"/>
      <c r="K12" s="109"/>
      <c r="L12" s="109"/>
      <c r="M12" s="109"/>
      <c r="N12" s="109"/>
      <c r="O12" s="109"/>
      <c r="P12" s="109"/>
      <c r="Q12" s="109"/>
      <c r="R12" s="109"/>
      <c r="S12" s="109"/>
      <c r="T12" s="109"/>
      <c r="U12" s="109"/>
      <c r="V12" s="109"/>
      <c r="W12" s="109"/>
      <c r="X12" s="109"/>
      <c r="Y12" s="109"/>
      <c r="Z12" s="109"/>
    </row>
    <row r="13" spans="1:26" customFormat="1" ht="15.75" customHeight="1">
      <c r="A13" s="117" t="s">
        <v>168</v>
      </c>
      <c r="B13" s="112" t="s">
        <v>275</v>
      </c>
      <c r="C13" s="113" t="s">
        <v>13</v>
      </c>
      <c r="D13" s="133">
        <v>1</v>
      </c>
      <c r="E13" s="126"/>
      <c r="F13" s="134">
        <f t="shared" ref="F13:F31" si="0">D13*E13</f>
        <v>0</v>
      </c>
      <c r="G13" s="118"/>
      <c r="H13" s="118"/>
      <c r="I13" s="118"/>
      <c r="J13" s="118"/>
      <c r="K13" s="118"/>
      <c r="L13" s="118"/>
      <c r="M13" s="118"/>
      <c r="N13" s="118"/>
      <c r="O13" s="118"/>
      <c r="P13" s="118"/>
      <c r="Q13" s="118"/>
      <c r="R13" s="118"/>
      <c r="S13" s="118"/>
      <c r="T13" s="118"/>
      <c r="U13" s="118"/>
      <c r="V13" s="118"/>
      <c r="W13" s="118"/>
      <c r="X13" s="118"/>
      <c r="Y13" s="118"/>
      <c r="Z13" s="118"/>
    </row>
    <row r="14" spans="1:26" customFormat="1" ht="15.75" customHeight="1">
      <c r="A14" s="117" t="s">
        <v>171</v>
      </c>
      <c r="B14" s="112" t="s">
        <v>288</v>
      </c>
      <c r="C14" s="113" t="s">
        <v>13</v>
      </c>
      <c r="D14" s="133">
        <v>1</v>
      </c>
      <c r="E14" s="126"/>
      <c r="F14" s="134">
        <f t="shared" si="0"/>
        <v>0</v>
      </c>
      <c r="G14" s="118"/>
      <c r="H14" s="118"/>
      <c r="I14" s="118"/>
      <c r="J14" s="118"/>
      <c r="K14" s="118"/>
      <c r="L14" s="118"/>
      <c r="M14" s="118"/>
      <c r="N14" s="118"/>
      <c r="O14" s="118"/>
      <c r="P14" s="118"/>
      <c r="Q14" s="118"/>
      <c r="R14" s="118"/>
      <c r="S14" s="118"/>
      <c r="T14" s="118"/>
      <c r="U14" s="118"/>
      <c r="V14" s="118"/>
      <c r="W14" s="118"/>
      <c r="X14" s="118"/>
      <c r="Y14" s="118"/>
      <c r="Z14" s="118"/>
    </row>
    <row r="15" spans="1:26" customFormat="1" ht="15.75" customHeight="1">
      <c r="A15" s="117" t="s">
        <v>190</v>
      </c>
      <c r="B15" s="112" t="s">
        <v>276</v>
      </c>
      <c r="C15" s="113" t="s">
        <v>13</v>
      </c>
      <c r="D15" s="133">
        <v>5</v>
      </c>
      <c r="E15" s="126"/>
      <c r="F15" s="134">
        <f t="shared" si="0"/>
        <v>0</v>
      </c>
      <c r="G15" s="118"/>
      <c r="H15" s="118"/>
      <c r="I15" s="118"/>
      <c r="J15" s="118"/>
      <c r="K15" s="118"/>
      <c r="L15" s="118"/>
      <c r="M15" s="118"/>
      <c r="N15" s="118"/>
      <c r="O15" s="118"/>
      <c r="P15" s="118"/>
      <c r="Q15" s="118"/>
      <c r="R15" s="118"/>
      <c r="S15" s="118"/>
      <c r="T15" s="118"/>
      <c r="U15" s="118"/>
      <c r="V15" s="118"/>
      <c r="W15" s="118"/>
      <c r="X15" s="118"/>
      <c r="Y15" s="118"/>
      <c r="Z15" s="118"/>
    </row>
    <row r="16" spans="1:26" customFormat="1" ht="15.75" customHeight="1">
      <c r="A16" s="117" t="s">
        <v>296</v>
      </c>
      <c r="B16" s="112" t="s">
        <v>277</v>
      </c>
      <c r="C16" s="113" t="s">
        <v>13</v>
      </c>
      <c r="D16" s="133">
        <v>1</v>
      </c>
      <c r="E16" s="126"/>
      <c r="F16" s="134">
        <f t="shared" si="0"/>
        <v>0</v>
      </c>
      <c r="G16" s="118"/>
      <c r="H16" s="118"/>
      <c r="I16" s="118"/>
      <c r="J16" s="118"/>
      <c r="K16" s="118"/>
      <c r="L16" s="118"/>
      <c r="M16" s="118"/>
      <c r="N16" s="118"/>
      <c r="O16" s="118"/>
      <c r="P16" s="118"/>
      <c r="Q16" s="118"/>
      <c r="R16" s="118"/>
      <c r="S16" s="118"/>
      <c r="T16" s="118"/>
      <c r="U16" s="118"/>
      <c r="V16" s="118"/>
      <c r="W16" s="118"/>
      <c r="X16" s="118"/>
      <c r="Y16" s="118"/>
      <c r="Z16" s="118"/>
    </row>
    <row r="17" spans="1:26" customFormat="1" ht="15.75" customHeight="1">
      <c r="A17" s="117" t="s">
        <v>297</v>
      </c>
      <c r="B17" s="112" t="s">
        <v>278</v>
      </c>
      <c r="C17" s="113" t="s">
        <v>13</v>
      </c>
      <c r="D17" s="133">
        <v>1</v>
      </c>
      <c r="E17" s="126"/>
      <c r="F17" s="134">
        <f t="shared" si="0"/>
        <v>0</v>
      </c>
      <c r="G17" s="118"/>
      <c r="H17" s="118"/>
      <c r="I17" s="118"/>
      <c r="J17" s="118"/>
      <c r="K17" s="118"/>
      <c r="L17" s="118"/>
      <c r="M17" s="118"/>
      <c r="N17" s="118"/>
      <c r="O17" s="118"/>
      <c r="P17" s="118"/>
      <c r="Q17" s="118"/>
      <c r="R17" s="118"/>
      <c r="S17" s="118"/>
      <c r="T17" s="118"/>
      <c r="U17" s="118"/>
      <c r="V17" s="118"/>
      <c r="W17" s="118"/>
      <c r="X17" s="118"/>
      <c r="Y17" s="118"/>
      <c r="Z17" s="118"/>
    </row>
    <row r="18" spans="1:26" customFormat="1" ht="15.75" customHeight="1">
      <c r="A18" s="117" t="s">
        <v>298</v>
      </c>
      <c r="B18" s="112" t="s">
        <v>279</v>
      </c>
      <c r="C18" s="113" t="s">
        <v>13</v>
      </c>
      <c r="D18" s="133">
        <v>1</v>
      </c>
      <c r="E18" s="126"/>
      <c r="F18" s="134">
        <f t="shared" si="0"/>
        <v>0</v>
      </c>
      <c r="G18" s="118"/>
      <c r="H18" s="118"/>
      <c r="I18" s="118"/>
      <c r="J18" s="118"/>
      <c r="K18" s="118"/>
      <c r="L18" s="118"/>
      <c r="M18" s="118"/>
      <c r="N18" s="118"/>
      <c r="O18" s="118"/>
      <c r="P18" s="118"/>
      <c r="Q18" s="118"/>
      <c r="R18" s="118"/>
      <c r="S18" s="118"/>
      <c r="T18" s="118"/>
      <c r="U18" s="118"/>
      <c r="V18" s="118"/>
      <c r="W18" s="118"/>
      <c r="X18" s="118"/>
      <c r="Y18" s="118"/>
      <c r="Z18" s="118"/>
    </row>
    <row r="19" spans="1:26" customFormat="1" ht="15.75" customHeight="1">
      <c r="A19" s="117" t="s">
        <v>299</v>
      </c>
      <c r="B19" s="112" t="s">
        <v>286</v>
      </c>
      <c r="C19" s="113" t="s">
        <v>13</v>
      </c>
      <c r="D19" s="133">
        <v>1</v>
      </c>
      <c r="E19" s="126"/>
      <c r="F19" s="134">
        <f t="shared" si="0"/>
        <v>0</v>
      </c>
      <c r="G19" s="118"/>
      <c r="H19" s="118"/>
      <c r="I19" s="118"/>
      <c r="J19" s="118"/>
      <c r="K19" s="118"/>
      <c r="L19" s="118"/>
      <c r="M19" s="118"/>
      <c r="N19" s="118"/>
      <c r="O19" s="118"/>
      <c r="P19" s="118"/>
      <c r="Q19" s="118"/>
      <c r="R19" s="118"/>
      <c r="S19" s="118"/>
      <c r="T19" s="118"/>
      <c r="U19" s="118"/>
      <c r="V19" s="118"/>
      <c r="W19" s="118"/>
      <c r="X19" s="118"/>
      <c r="Y19" s="118"/>
      <c r="Z19" s="118"/>
    </row>
    <row r="20" spans="1:26" customFormat="1" ht="15.75" customHeight="1">
      <c r="A20" s="117" t="s">
        <v>300</v>
      </c>
      <c r="B20" s="112" t="s">
        <v>280</v>
      </c>
      <c r="C20" s="113" t="s">
        <v>13</v>
      </c>
      <c r="D20" s="133">
        <v>1</v>
      </c>
      <c r="E20" s="126"/>
      <c r="F20" s="134">
        <f t="shared" ref="F20:F21" si="1">D20*E20</f>
        <v>0</v>
      </c>
      <c r="G20" s="118"/>
      <c r="H20" s="118"/>
      <c r="I20" s="118"/>
      <c r="J20" s="118"/>
      <c r="K20" s="118"/>
      <c r="L20" s="118"/>
      <c r="M20" s="118"/>
      <c r="N20" s="118"/>
      <c r="O20" s="118"/>
      <c r="P20" s="118"/>
      <c r="Q20" s="118"/>
      <c r="R20" s="118"/>
      <c r="S20" s="118"/>
      <c r="T20" s="118"/>
      <c r="U20" s="118"/>
      <c r="V20" s="118"/>
      <c r="W20" s="118"/>
      <c r="X20" s="118"/>
      <c r="Y20" s="118"/>
      <c r="Z20" s="118"/>
    </row>
    <row r="21" spans="1:26" customFormat="1" ht="15.75" customHeight="1">
      <c r="A21" s="117" t="s">
        <v>301</v>
      </c>
      <c r="B21" s="112" t="s">
        <v>281</v>
      </c>
      <c r="C21" s="113" t="s">
        <v>13</v>
      </c>
      <c r="D21" s="133">
        <v>1</v>
      </c>
      <c r="E21" s="126"/>
      <c r="F21" s="134">
        <f t="shared" si="1"/>
        <v>0</v>
      </c>
      <c r="G21" s="118"/>
      <c r="H21" s="118"/>
      <c r="I21" s="118"/>
      <c r="J21" s="118"/>
      <c r="K21" s="118"/>
      <c r="L21" s="118"/>
      <c r="M21" s="118"/>
      <c r="N21" s="118"/>
      <c r="O21" s="118"/>
      <c r="P21" s="118"/>
      <c r="Q21" s="118"/>
      <c r="R21" s="118"/>
      <c r="S21" s="118"/>
      <c r="T21" s="118"/>
      <c r="U21" s="118"/>
      <c r="V21" s="118"/>
      <c r="W21" s="118"/>
      <c r="X21" s="118"/>
      <c r="Y21" s="118"/>
      <c r="Z21" s="118"/>
    </row>
    <row r="22" spans="1:26" customFormat="1" ht="15.75" customHeight="1">
      <c r="A22" s="117" t="s">
        <v>302</v>
      </c>
      <c r="B22" s="112" t="s">
        <v>282</v>
      </c>
      <c r="C22" s="113" t="s">
        <v>13</v>
      </c>
      <c r="D22" s="133">
        <v>1</v>
      </c>
      <c r="E22" s="126"/>
      <c r="F22" s="134">
        <f t="shared" ref="F22:F24" si="2">D22*E22</f>
        <v>0</v>
      </c>
      <c r="G22" s="118"/>
      <c r="H22" s="118"/>
      <c r="I22" s="118"/>
      <c r="J22" s="118"/>
      <c r="K22" s="118"/>
      <c r="L22" s="118"/>
      <c r="M22" s="118"/>
      <c r="N22" s="118"/>
      <c r="O22" s="118"/>
      <c r="P22" s="118"/>
      <c r="Q22" s="118"/>
      <c r="R22" s="118"/>
      <c r="S22" s="118"/>
      <c r="T22" s="118"/>
      <c r="U22" s="118"/>
      <c r="V22" s="118"/>
      <c r="W22" s="118"/>
      <c r="X22" s="118"/>
      <c r="Y22" s="118"/>
      <c r="Z22" s="118"/>
    </row>
    <row r="23" spans="1:26" customFormat="1" ht="15.75" customHeight="1">
      <c r="A23" s="117" t="s">
        <v>303</v>
      </c>
      <c r="B23" s="112" t="s">
        <v>283</v>
      </c>
      <c r="C23" s="113" t="s">
        <v>13</v>
      </c>
      <c r="D23" s="133">
        <v>1</v>
      </c>
      <c r="E23" s="126"/>
      <c r="F23" s="134">
        <f t="shared" ref="F23" si="3">D23*E23</f>
        <v>0</v>
      </c>
      <c r="G23" s="118"/>
      <c r="H23" s="118"/>
      <c r="I23" s="118"/>
      <c r="J23" s="118"/>
      <c r="K23" s="118"/>
      <c r="L23" s="118"/>
      <c r="M23" s="118"/>
      <c r="N23" s="118"/>
      <c r="O23" s="118"/>
      <c r="P23" s="118"/>
      <c r="Q23" s="118"/>
      <c r="R23" s="118"/>
      <c r="S23" s="118"/>
      <c r="T23" s="118"/>
      <c r="U23" s="118"/>
      <c r="V23" s="118"/>
      <c r="W23" s="118"/>
      <c r="X23" s="118"/>
      <c r="Y23" s="118"/>
      <c r="Z23" s="118"/>
    </row>
    <row r="24" spans="1:26" customFormat="1" ht="15.75" customHeight="1">
      <c r="A24" s="117" t="s">
        <v>304</v>
      </c>
      <c r="B24" s="112" t="s">
        <v>287</v>
      </c>
      <c r="C24" s="113" t="s">
        <v>13</v>
      </c>
      <c r="D24" s="133">
        <v>1</v>
      </c>
      <c r="E24" s="126"/>
      <c r="F24" s="134">
        <f t="shared" si="2"/>
        <v>0</v>
      </c>
      <c r="G24" s="118"/>
      <c r="H24" s="118"/>
      <c r="I24" s="118"/>
      <c r="J24" s="118"/>
      <c r="K24" s="118"/>
      <c r="L24" s="118"/>
      <c r="M24" s="118"/>
      <c r="N24" s="118"/>
      <c r="O24" s="118"/>
      <c r="P24" s="118"/>
      <c r="Q24" s="118"/>
      <c r="R24" s="118"/>
      <c r="S24" s="118"/>
      <c r="T24" s="118"/>
      <c r="U24" s="118"/>
      <c r="V24" s="118"/>
      <c r="W24" s="118"/>
      <c r="X24" s="118"/>
      <c r="Y24" s="118"/>
      <c r="Z24" s="118"/>
    </row>
    <row r="25" spans="1:26" customFormat="1" ht="15.75" customHeight="1">
      <c r="A25" s="117" t="s">
        <v>305</v>
      </c>
      <c r="B25" s="112" t="s">
        <v>284</v>
      </c>
      <c r="C25" s="113" t="s">
        <v>13</v>
      </c>
      <c r="D25" s="133">
        <v>1</v>
      </c>
      <c r="E25" s="126"/>
      <c r="F25" s="134">
        <f t="shared" si="0"/>
        <v>0</v>
      </c>
      <c r="G25" s="118"/>
      <c r="H25" s="118"/>
      <c r="I25" s="118"/>
      <c r="J25" s="118"/>
      <c r="K25" s="118"/>
      <c r="L25" s="118"/>
      <c r="M25" s="118"/>
      <c r="N25" s="118"/>
      <c r="O25" s="118"/>
      <c r="P25" s="118"/>
      <c r="Q25" s="118"/>
      <c r="R25" s="118"/>
      <c r="S25" s="118"/>
      <c r="T25" s="118"/>
      <c r="U25" s="118"/>
      <c r="V25" s="118"/>
      <c r="W25" s="118"/>
      <c r="X25" s="118"/>
      <c r="Y25" s="118"/>
      <c r="Z25" s="118"/>
    </row>
    <row r="26" spans="1:26" customFormat="1" ht="15.75" customHeight="1">
      <c r="A26" s="117" t="s">
        <v>306</v>
      </c>
      <c r="B26" s="112" t="s">
        <v>285</v>
      </c>
      <c r="C26" s="113" t="s">
        <v>13</v>
      </c>
      <c r="D26" s="133">
        <v>1</v>
      </c>
      <c r="E26" s="126"/>
      <c r="F26" s="134">
        <f t="shared" si="0"/>
        <v>0</v>
      </c>
      <c r="G26" s="118"/>
      <c r="H26" s="118"/>
      <c r="I26" s="118"/>
      <c r="J26" s="118"/>
      <c r="K26" s="118"/>
      <c r="L26" s="118"/>
      <c r="M26" s="118"/>
      <c r="N26" s="118"/>
      <c r="O26" s="118"/>
      <c r="P26" s="118"/>
      <c r="Q26" s="118"/>
      <c r="R26" s="118"/>
      <c r="S26" s="118"/>
      <c r="T26" s="118"/>
      <c r="U26" s="118"/>
      <c r="V26" s="118"/>
      <c r="W26" s="118"/>
      <c r="X26" s="118"/>
      <c r="Y26" s="118"/>
      <c r="Z26" s="118"/>
    </row>
    <row r="27" spans="1:26" customFormat="1" ht="15.75" customHeight="1">
      <c r="A27" s="117" t="s">
        <v>307</v>
      </c>
      <c r="B27" s="112" t="s">
        <v>289</v>
      </c>
      <c r="C27" s="113" t="s">
        <v>13</v>
      </c>
      <c r="D27" s="133">
        <v>1</v>
      </c>
      <c r="E27" s="126"/>
      <c r="F27" s="134">
        <f t="shared" si="0"/>
        <v>0</v>
      </c>
      <c r="G27" s="118"/>
      <c r="H27" s="118"/>
      <c r="I27" s="118"/>
      <c r="J27" s="118"/>
      <c r="K27" s="118"/>
      <c r="L27" s="118"/>
      <c r="M27" s="118"/>
      <c r="N27" s="118"/>
      <c r="O27" s="118"/>
      <c r="P27" s="118"/>
      <c r="Q27" s="118"/>
      <c r="R27" s="118"/>
      <c r="S27" s="118"/>
      <c r="T27" s="118"/>
      <c r="U27" s="118"/>
      <c r="V27" s="118"/>
      <c r="W27" s="118"/>
      <c r="X27" s="118"/>
      <c r="Y27" s="118"/>
      <c r="Z27" s="118"/>
    </row>
    <row r="28" spans="1:26" customFormat="1" ht="15.75" customHeight="1">
      <c r="A28" s="117" t="s">
        <v>308</v>
      </c>
      <c r="B28" s="112" t="s">
        <v>290</v>
      </c>
      <c r="C28" s="113" t="s">
        <v>13</v>
      </c>
      <c r="D28" s="133">
        <v>1</v>
      </c>
      <c r="E28" s="126"/>
      <c r="F28" s="134">
        <f t="shared" ref="F28:F29" si="4">D28*E28</f>
        <v>0</v>
      </c>
      <c r="G28" s="118"/>
      <c r="H28" s="118"/>
      <c r="I28" s="118"/>
      <c r="J28" s="118"/>
      <c r="K28" s="118"/>
      <c r="L28" s="118"/>
      <c r="M28" s="118"/>
      <c r="N28" s="118"/>
      <c r="O28" s="118"/>
      <c r="P28" s="118"/>
      <c r="Q28" s="118"/>
      <c r="R28" s="118"/>
      <c r="S28" s="118"/>
      <c r="T28" s="118"/>
      <c r="U28" s="118"/>
      <c r="V28" s="118"/>
      <c r="W28" s="118"/>
      <c r="X28" s="118"/>
      <c r="Y28" s="118"/>
      <c r="Z28" s="118"/>
    </row>
    <row r="29" spans="1:26" customFormat="1" ht="15.75" customHeight="1">
      <c r="A29" s="117" t="s">
        <v>309</v>
      </c>
      <c r="B29" s="112" t="s">
        <v>291</v>
      </c>
      <c r="C29" s="113" t="s">
        <v>13</v>
      </c>
      <c r="D29" s="133">
        <v>1</v>
      </c>
      <c r="E29" s="126"/>
      <c r="F29" s="134">
        <f t="shared" si="4"/>
        <v>0</v>
      </c>
      <c r="G29" s="118"/>
      <c r="H29" s="118"/>
      <c r="I29" s="118"/>
      <c r="J29" s="118"/>
      <c r="K29" s="118"/>
      <c r="L29" s="118"/>
      <c r="M29" s="118"/>
      <c r="N29" s="118"/>
      <c r="O29" s="118"/>
      <c r="P29" s="118"/>
      <c r="Q29" s="118"/>
      <c r="R29" s="118"/>
      <c r="S29" s="118"/>
      <c r="T29" s="118"/>
      <c r="U29" s="118"/>
      <c r="V29" s="118"/>
      <c r="W29" s="118"/>
      <c r="X29" s="118"/>
      <c r="Y29" s="118"/>
      <c r="Z29" s="118"/>
    </row>
    <row r="30" spans="1:26" customFormat="1" ht="15.75" customHeight="1">
      <c r="A30" s="117" t="s">
        <v>310</v>
      </c>
      <c r="B30" s="112" t="s">
        <v>292</v>
      </c>
      <c r="C30" s="113" t="s">
        <v>13</v>
      </c>
      <c r="D30" s="133">
        <v>1</v>
      </c>
      <c r="E30" s="126"/>
      <c r="F30" s="134">
        <f t="shared" si="0"/>
        <v>0</v>
      </c>
      <c r="G30" s="118"/>
      <c r="H30" s="118"/>
      <c r="I30" s="118"/>
      <c r="J30" s="118"/>
      <c r="K30" s="118"/>
      <c r="L30" s="118"/>
      <c r="M30" s="118"/>
      <c r="N30" s="118"/>
      <c r="O30" s="118"/>
      <c r="P30" s="118"/>
      <c r="Q30" s="118"/>
      <c r="R30" s="118"/>
      <c r="S30" s="118"/>
      <c r="T30" s="118"/>
      <c r="U30" s="118"/>
      <c r="V30" s="118"/>
      <c r="W30" s="118"/>
      <c r="X30" s="118"/>
      <c r="Y30" s="118"/>
      <c r="Z30" s="118"/>
    </row>
    <row r="31" spans="1:26" customFormat="1" ht="15.75" customHeight="1">
      <c r="A31" s="117" t="s">
        <v>311</v>
      </c>
      <c r="B31" s="112" t="s">
        <v>293</v>
      </c>
      <c r="C31" s="113" t="s">
        <v>13</v>
      </c>
      <c r="D31" s="133">
        <v>1</v>
      </c>
      <c r="E31" s="126"/>
      <c r="F31" s="134">
        <f t="shared" si="0"/>
        <v>0</v>
      </c>
      <c r="G31" s="118"/>
      <c r="H31" s="118"/>
      <c r="I31" s="118"/>
      <c r="J31" s="118"/>
      <c r="K31" s="118"/>
      <c r="L31" s="118"/>
      <c r="M31" s="118"/>
      <c r="N31" s="118"/>
      <c r="O31" s="118"/>
      <c r="P31" s="118"/>
      <c r="Q31" s="118"/>
      <c r="R31" s="118"/>
      <c r="S31" s="118"/>
      <c r="T31" s="118"/>
      <c r="U31" s="118"/>
      <c r="V31" s="118"/>
      <c r="W31" s="118"/>
      <c r="X31" s="118"/>
      <c r="Y31" s="118"/>
      <c r="Z31" s="118"/>
    </row>
    <row r="32" spans="1:26" customFormat="1" ht="15.75" customHeight="1">
      <c r="A32" s="117" t="s">
        <v>312</v>
      </c>
      <c r="B32" s="112" t="s">
        <v>294</v>
      </c>
      <c r="C32" s="113" t="s">
        <v>13</v>
      </c>
      <c r="D32" s="133">
        <v>1</v>
      </c>
      <c r="E32" s="126"/>
      <c r="F32" s="134">
        <f t="shared" ref="F32" si="5">D32*E32</f>
        <v>0</v>
      </c>
      <c r="G32" s="118"/>
      <c r="H32" s="118"/>
      <c r="I32" s="118"/>
      <c r="J32" s="118"/>
      <c r="K32" s="118"/>
      <c r="L32" s="118"/>
      <c r="M32" s="118"/>
      <c r="N32" s="118"/>
      <c r="O32" s="118"/>
      <c r="P32" s="118"/>
      <c r="Q32" s="118"/>
      <c r="R32" s="118"/>
      <c r="S32" s="118"/>
      <c r="T32" s="118"/>
      <c r="U32" s="118"/>
      <c r="V32" s="118"/>
      <c r="W32" s="118"/>
      <c r="X32" s="118"/>
      <c r="Y32" s="118"/>
      <c r="Z32" s="118"/>
    </row>
    <row r="33" spans="1:26" customFormat="1" ht="15.75" customHeight="1">
      <c r="A33" s="114" t="s">
        <v>169</v>
      </c>
      <c r="B33" s="115" t="s">
        <v>314</v>
      </c>
      <c r="C33" s="116"/>
      <c r="D33" s="130"/>
      <c r="E33" s="131"/>
      <c r="F33" s="132"/>
      <c r="G33" s="109"/>
      <c r="H33" s="109"/>
      <c r="I33" s="109"/>
      <c r="J33" s="109"/>
      <c r="K33" s="109"/>
      <c r="L33" s="109"/>
      <c r="M33" s="109"/>
      <c r="N33" s="109"/>
      <c r="O33" s="109"/>
      <c r="P33" s="109"/>
      <c r="Q33" s="109"/>
      <c r="R33" s="109"/>
      <c r="S33" s="109"/>
      <c r="T33" s="109"/>
      <c r="U33" s="109"/>
      <c r="V33" s="109"/>
      <c r="W33" s="109"/>
      <c r="X33" s="109"/>
      <c r="Y33" s="109"/>
      <c r="Z33" s="109"/>
    </row>
    <row r="34" spans="1:26" customFormat="1" ht="15.75" customHeight="1">
      <c r="A34" s="117" t="s">
        <v>170</v>
      </c>
      <c r="B34" s="112" t="s">
        <v>172</v>
      </c>
      <c r="C34" s="113" t="s">
        <v>13</v>
      </c>
      <c r="D34" s="133">
        <v>1</v>
      </c>
      <c r="E34" s="125"/>
      <c r="F34" s="134">
        <f t="shared" ref="F34:F35" si="6">D34*E34</f>
        <v>0</v>
      </c>
      <c r="G34" s="118"/>
      <c r="H34" s="119"/>
      <c r="I34" s="118"/>
      <c r="J34" s="118"/>
      <c r="K34" s="118"/>
      <c r="L34" s="118"/>
      <c r="M34" s="118"/>
      <c r="N34" s="118"/>
      <c r="O34" s="118"/>
      <c r="P34" s="118"/>
      <c r="Q34" s="118"/>
      <c r="R34" s="118"/>
      <c r="S34" s="118"/>
      <c r="T34" s="118"/>
      <c r="U34" s="118"/>
      <c r="V34" s="118"/>
      <c r="W34" s="118"/>
      <c r="X34" s="118"/>
      <c r="Y34" s="118"/>
      <c r="Z34" s="118"/>
    </row>
    <row r="35" spans="1:26" customFormat="1" ht="15.75" customHeight="1">
      <c r="A35" s="117" t="s">
        <v>173</v>
      </c>
      <c r="B35" s="112" t="s">
        <v>313</v>
      </c>
      <c r="C35" s="113" t="s">
        <v>13</v>
      </c>
      <c r="D35" s="133">
        <v>1</v>
      </c>
      <c r="E35" s="125"/>
      <c r="F35" s="134">
        <f t="shared" si="6"/>
        <v>0</v>
      </c>
      <c r="G35" s="118"/>
      <c r="H35" s="119"/>
      <c r="I35" s="118"/>
      <c r="J35" s="118"/>
      <c r="K35" s="118"/>
      <c r="L35" s="118"/>
      <c r="M35" s="118"/>
      <c r="N35" s="118"/>
      <c r="O35" s="118"/>
      <c r="P35" s="118"/>
      <c r="Q35" s="118"/>
      <c r="R35" s="118"/>
      <c r="S35" s="118"/>
      <c r="T35" s="118"/>
      <c r="U35" s="118"/>
      <c r="V35" s="118"/>
      <c r="W35" s="118"/>
      <c r="X35" s="118"/>
      <c r="Y35" s="118"/>
      <c r="Z35" s="118"/>
    </row>
    <row r="36" spans="1:26" customFormat="1" ht="15.75" customHeight="1" thickBot="1">
      <c r="A36" s="117" t="s">
        <v>174</v>
      </c>
      <c r="B36" s="112" t="s">
        <v>295</v>
      </c>
      <c r="C36" s="113" t="s">
        <v>13</v>
      </c>
      <c r="D36" s="133">
        <v>1</v>
      </c>
      <c r="E36" s="125"/>
      <c r="F36" s="134">
        <f t="shared" ref="F36" si="7">D36*E36</f>
        <v>0</v>
      </c>
      <c r="G36" s="118"/>
      <c r="H36" s="119"/>
      <c r="I36" s="118"/>
      <c r="J36" s="118"/>
      <c r="K36" s="118"/>
      <c r="L36" s="118"/>
      <c r="M36" s="118"/>
      <c r="N36" s="118"/>
      <c r="O36" s="118"/>
      <c r="P36" s="118"/>
      <c r="Q36" s="118"/>
      <c r="R36" s="118"/>
      <c r="S36" s="118"/>
      <c r="T36" s="118"/>
      <c r="U36" s="118"/>
      <c r="V36" s="118"/>
      <c r="W36" s="118"/>
      <c r="X36" s="118"/>
      <c r="Y36" s="118"/>
      <c r="Z36" s="118"/>
    </row>
    <row r="37" spans="1:26" customFormat="1" ht="15.75" customHeight="1" thickBot="1">
      <c r="A37" s="101" t="s">
        <v>8</v>
      </c>
      <c r="B37" s="88" t="s">
        <v>14</v>
      </c>
      <c r="C37" s="89"/>
      <c r="D37" s="127"/>
      <c r="E37" s="127"/>
      <c r="F37" s="128">
        <f>SUM(F10:F36)</f>
        <v>0</v>
      </c>
      <c r="G37" s="109"/>
      <c r="H37" s="109"/>
      <c r="I37" s="109"/>
      <c r="J37" s="109"/>
      <c r="K37" s="109"/>
      <c r="L37" s="109"/>
      <c r="M37" s="109"/>
      <c r="N37" s="109"/>
      <c r="O37" s="109"/>
      <c r="P37" s="109"/>
      <c r="Q37" s="109"/>
      <c r="R37" s="109"/>
      <c r="S37" s="109"/>
      <c r="T37" s="109"/>
      <c r="U37" s="109"/>
      <c r="V37" s="109"/>
      <c r="W37" s="109"/>
      <c r="X37" s="109"/>
      <c r="Y37" s="109"/>
      <c r="Z37" s="109"/>
    </row>
    <row r="38" spans="1:26" s="15" customFormat="1">
      <c r="A38" s="26" t="s">
        <v>9</v>
      </c>
      <c r="B38" s="91" t="s">
        <v>126</v>
      </c>
      <c r="C38" s="14"/>
      <c r="D38" s="122"/>
      <c r="E38" s="122"/>
      <c r="F38" s="123"/>
    </row>
    <row r="39" spans="1:26" s="15" customFormat="1">
      <c r="A39" s="26" t="s">
        <v>150</v>
      </c>
      <c r="B39" s="91" t="s">
        <v>127</v>
      </c>
      <c r="C39" s="14"/>
      <c r="D39" s="122"/>
      <c r="E39" s="122"/>
      <c r="F39" s="123"/>
    </row>
    <row r="40" spans="1:26" customFormat="1" ht="108" customHeight="1">
      <c r="A40" s="97"/>
      <c r="B40" s="93" t="s">
        <v>128</v>
      </c>
      <c r="C40" s="92"/>
      <c r="D40" s="135"/>
      <c r="E40" s="136"/>
      <c r="F40" s="137"/>
      <c r="G40" s="90"/>
      <c r="H40" s="90"/>
      <c r="I40" s="90"/>
      <c r="J40" s="90"/>
      <c r="K40" s="90"/>
      <c r="L40" s="90"/>
      <c r="M40" s="90"/>
      <c r="N40" s="90"/>
      <c r="O40" s="90"/>
      <c r="P40" s="90"/>
      <c r="Q40" s="90"/>
      <c r="R40" s="90"/>
      <c r="S40" s="90"/>
      <c r="T40" s="90"/>
      <c r="U40" s="90"/>
      <c r="V40" s="90"/>
      <c r="W40" s="90"/>
      <c r="X40" s="90"/>
      <c r="Y40" s="90"/>
      <c r="Z40" s="90"/>
    </row>
    <row r="41" spans="1:26" customFormat="1" ht="91.95" customHeight="1">
      <c r="A41" s="97"/>
      <c r="B41" s="93" t="s">
        <v>334</v>
      </c>
      <c r="C41" s="92"/>
      <c r="D41" s="135"/>
      <c r="E41" s="136"/>
      <c r="F41" s="137"/>
      <c r="G41" s="90"/>
      <c r="H41" s="90"/>
      <c r="I41" s="90"/>
      <c r="J41" s="90"/>
      <c r="K41" s="90"/>
      <c r="L41" s="90"/>
      <c r="M41" s="90"/>
      <c r="N41" s="90"/>
      <c r="O41" s="90"/>
      <c r="P41" s="90"/>
      <c r="Q41" s="90"/>
      <c r="R41" s="90"/>
      <c r="S41" s="90"/>
      <c r="T41" s="90"/>
      <c r="U41" s="90"/>
      <c r="V41" s="90"/>
      <c r="W41" s="90"/>
      <c r="X41" s="90"/>
      <c r="Y41" s="90"/>
      <c r="Z41" s="90"/>
    </row>
    <row r="42" spans="1:26" s="94" customFormat="1" ht="16.2">
      <c r="A42" s="102" t="s">
        <v>151</v>
      </c>
      <c r="B42" s="103" t="s">
        <v>159</v>
      </c>
      <c r="C42" s="104" t="s">
        <v>117</v>
      </c>
      <c r="D42" s="137">
        <v>103.8</v>
      </c>
      <c r="E42" s="137"/>
      <c r="F42" s="137">
        <f>D42*E42</f>
        <v>0</v>
      </c>
    </row>
    <row r="43" spans="1:26" s="94" customFormat="1" ht="16.2">
      <c r="A43" s="102" t="s">
        <v>158</v>
      </c>
      <c r="B43" s="103" t="s">
        <v>147</v>
      </c>
      <c r="C43" s="104" t="s">
        <v>117</v>
      </c>
      <c r="D43" s="137">
        <v>24.5</v>
      </c>
      <c r="E43" s="137"/>
      <c r="F43" s="137">
        <f>D43*E43</f>
        <v>0</v>
      </c>
    </row>
    <row r="44" spans="1:26" s="94" customFormat="1" ht="16.2">
      <c r="A44" s="102" t="s">
        <v>176</v>
      </c>
      <c r="B44" s="103" t="s">
        <v>331</v>
      </c>
      <c r="C44" s="104" t="s">
        <v>117</v>
      </c>
      <c r="D44" s="137">
        <v>39.799999999999997</v>
      </c>
      <c r="E44" s="137"/>
      <c r="F44" s="137">
        <f>D44*E44</f>
        <v>0</v>
      </c>
    </row>
    <row r="45" spans="1:26" s="94" customFormat="1" ht="16.2">
      <c r="A45" s="102" t="s">
        <v>177</v>
      </c>
      <c r="B45" s="103" t="s">
        <v>332</v>
      </c>
      <c r="C45" s="104" t="s">
        <v>117</v>
      </c>
      <c r="D45" s="137">
        <v>25.9</v>
      </c>
      <c r="E45" s="137"/>
      <c r="F45" s="137">
        <f t="shared" ref="F45:F52" si="8">D45*E45</f>
        <v>0</v>
      </c>
    </row>
    <row r="46" spans="1:26" s="94" customFormat="1" ht="16.2">
      <c r="A46" s="102" t="s">
        <v>178</v>
      </c>
      <c r="B46" s="103" t="s">
        <v>131</v>
      </c>
      <c r="C46" s="104" t="s">
        <v>117</v>
      </c>
      <c r="D46" s="137">
        <v>22.08</v>
      </c>
      <c r="E46" s="137"/>
      <c r="F46" s="137">
        <f t="shared" si="8"/>
        <v>0</v>
      </c>
    </row>
    <row r="47" spans="1:26" s="94" customFormat="1" ht="16.2">
      <c r="A47" s="102" t="s">
        <v>179</v>
      </c>
      <c r="B47" s="103" t="s">
        <v>132</v>
      </c>
      <c r="C47" s="104" t="s">
        <v>117</v>
      </c>
      <c r="D47" s="137">
        <v>29.8</v>
      </c>
      <c r="E47" s="137"/>
      <c r="F47" s="137">
        <f t="shared" si="8"/>
        <v>0</v>
      </c>
    </row>
    <row r="48" spans="1:26" s="94" customFormat="1" ht="16.2">
      <c r="A48" s="102" t="s">
        <v>180</v>
      </c>
      <c r="B48" s="103" t="s">
        <v>133</v>
      </c>
      <c r="C48" s="104" t="s">
        <v>117</v>
      </c>
      <c r="D48" s="137">
        <v>21.66</v>
      </c>
      <c r="E48" s="137"/>
      <c r="F48" s="137">
        <f t="shared" si="8"/>
        <v>0</v>
      </c>
    </row>
    <row r="49" spans="1:6" s="94" customFormat="1" ht="16.2">
      <c r="A49" s="102" t="s">
        <v>181</v>
      </c>
      <c r="B49" s="103" t="s">
        <v>134</v>
      </c>
      <c r="C49" s="104" t="s">
        <v>117</v>
      </c>
      <c r="D49" s="137">
        <v>27.41</v>
      </c>
      <c r="E49" s="137"/>
      <c r="F49" s="137">
        <f t="shared" si="8"/>
        <v>0</v>
      </c>
    </row>
    <row r="50" spans="1:6" s="94" customFormat="1" ht="16.2">
      <c r="A50" s="102" t="s">
        <v>182</v>
      </c>
      <c r="B50" s="103" t="s">
        <v>135</v>
      </c>
      <c r="C50" s="104" t="s">
        <v>117</v>
      </c>
      <c r="D50" s="137">
        <v>23.95</v>
      </c>
      <c r="E50" s="137"/>
      <c r="F50" s="137">
        <f t="shared" si="8"/>
        <v>0</v>
      </c>
    </row>
    <row r="51" spans="1:6" s="94" customFormat="1" ht="16.2">
      <c r="A51" s="102" t="s">
        <v>183</v>
      </c>
      <c r="B51" s="103" t="s">
        <v>136</v>
      </c>
      <c r="C51" s="104" t="s">
        <v>117</v>
      </c>
      <c r="D51" s="137">
        <v>18.559999999999999</v>
      </c>
      <c r="E51" s="137"/>
      <c r="F51" s="137">
        <f t="shared" si="8"/>
        <v>0</v>
      </c>
    </row>
    <row r="52" spans="1:6" s="94" customFormat="1" ht="16.2">
      <c r="A52" s="102" t="s">
        <v>184</v>
      </c>
      <c r="B52" s="103" t="s">
        <v>137</v>
      </c>
      <c r="C52" s="104" t="s">
        <v>117</v>
      </c>
      <c r="D52" s="137">
        <v>21.15</v>
      </c>
      <c r="E52" s="137"/>
      <c r="F52" s="137">
        <f t="shared" si="8"/>
        <v>0</v>
      </c>
    </row>
    <row r="53" spans="1:6" s="94" customFormat="1" ht="16.2">
      <c r="A53" s="102" t="s">
        <v>185</v>
      </c>
      <c r="B53" s="103" t="s">
        <v>141</v>
      </c>
      <c r="C53" s="104" t="s">
        <v>117</v>
      </c>
      <c r="D53" s="137">
        <v>10.74</v>
      </c>
      <c r="E53" s="137"/>
      <c r="F53" s="137">
        <f t="shared" ref="F53:F58" si="9">D53*E53</f>
        <v>0</v>
      </c>
    </row>
    <row r="54" spans="1:6" s="94" customFormat="1" ht="16.2">
      <c r="A54" s="102" t="s">
        <v>186</v>
      </c>
      <c r="B54" s="103" t="s">
        <v>142</v>
      </c>
      <c r="C54" s="104" t="s">
        <v>117</v>
      </c>
      <c r="D54" s="137">
        <v>14.38</v>
      </c>
      <c r="E54" s="137"/>
      <c r="F54" s="137">
        <f t="shared" si="9"/>
        <v>0</v>
      </c>
    </row>
    <row r="55" spans="1:6" s="94" customFormat="1" ht="16.2">
      <c r="A55" s="102" t="s">
        <v>187</v>
      </c>
      <c r="B55" s="103" t="s">
        <v>143</v>
      </c>
      <c r="C55" s="104" t="s">
        <v>117</v>
      </c>
      <c r="D55" s="137">
        <v>11.52</v>
      </c>
      <c r="E55" s="137"/>
      <c r="F55" s="137">
        <f t="shared" si="9"/>
        <v>0</v>
      </c>
    </row>
    <row r="56" spans="1:6" s="94" customFormat="1" ht="16.2">
      <c r="A56" s="102" t="s">
        <v>188</v>
      </c>
      <c r="B56" s="103" t="s">
        <v>144</v>
      </c>
      <c r="C56" s="104" t="s">
        <v>117</v>
      </c>
      <c r="D56" s="137">
        <v>22.23</v>
      </c>
      <c r="E56" s="137"/>
      <c r="F56" s="137">
        <f t="shared" si="9"/>
        <v>0</v>
      </c>
    </row>
    <row r="57" spans="1:6" s="94" customFormat="1" ht="16.2">
      <c r="A57" s="102" t="s">
        <v>189</v>
      </c>
      <c r="B57" s="103" t="s">
        <v>145</v>
      </c>
      <c r="C57" s="104" t="s">
        <v>117</v>
      </c>
      <c r="D57" s="137">
        <v>14.46</v>
      </c>
      <c r="E57" s="137"/>
      <c r="F57" s="137">
        <f t="shared" si="9"/>
        <v>0</v>
      </c>
    </row>
    <row r="58" spans="1:6" s="94" customFormat="1" ht="16.8" thickBot="1">
      <c r="A58" s="102" t="s">
        <v>315</v>
      </c>
      <c r="B58" s="103" t="s">
        <v>175</v>
      </c>
      <c r="C58" s="104" t="s">
        <v>117</v>
      </c>
      <c r="D58" s="137">
        <v>8.3000000000000007</v>
      </c>
      <c r="E58" s="137"/>
      <c r="F58" s="137">
        <f t="shared" si="9"/>
        <v>0</v>
      </c>
    </row>
    <row r="59" spans="1:6" s="15" customFormat="1" ht="15" thickBot="1">
      <c r="A59" s="101" t="s">
        <v>9</v>
      </c>
      <c r="B59" s="88" t="s">
        <v>15</v>
      </c>
      <c r="C59" s="89"/>
      <c r="D59" s="127"/>
      <c r="E59" s="127"/>
      <c r="F59" s="128">
        <f>SUM(F42:F58)</f>
        <v>0</v>
      </c>
    </row>
    <row r="60" spans="1:6" s="15" customFormat="1">
      <c r="A60" s="26" t="s">
        <v>10</v>
      </c>
      <c r="B60" s="91" t="s">
        <v>16</v>
      </c>
      <c r="C60" s="100"/>
      <c r="D60" s="122"/>
      <c r="E60" s="122"/>
      <c r="F60" s="123"/>
    </row>
    <row r="61" spans="1:6" s="94" customFormat="1" ht="48" customHeight="1">
      <c r="A61" s="102" t="s">
        <v>152</v>
      </c>
      <c r="B61" s="103" t="s">
        <v>324</v>
      </c>
      <c r="C61" s="104"/>
      <c r="D61" s="137"/>
      <c r="E61" s="137"/>
      <c r="F61" s="137"/>
    </row>
    <row r="62" spans="1:6" s="94" customFormat="1" ht="16.2">
      <c r="A62" s="102" t="s">
        <v>153</v>
      </c>
      <c r="B62" s="103" t="s">
        <v>159</v>
      </c>
      <c r="C62" s="104" t="s">
        <v>117</v>
      </c>
      <c r="D62" s="137">
        <v>162</v>
      </c>
      <c r="E62" s="137"/>
      <c r="F62" s="137">
        <f>D62*E62</f>
        <v>0</v>
      </c>
    </row>
    <row r="63" spans="1:6" s="94" customFormat="1" ht="16.2">
      <c r="A63" s="102" t="s">
        <v>191</v>
      </c>
      <c r="B63" s="103" t="s">
        <v>331</v>
      </c>
      <c r="C63" s="104" t="s">
        <v>117</v>
      </c>
      <c r="D63" s="137">
        <f>6.62*3.2*2+6.16*3.2*0.98*2-1.5*2*2</f>
        <v>75.003520000000009</v>
      </c>
      <c r="E63" s="137"/>
      <c r="F63" s="137">
        <f>D63*E63</f>
        <v>0</v>
      </c>
    </row>
    <row r="64" spans="1:6" s="94" customFormat="1" ht="16.2">
      <c r="A64" s="102" t="s">
        <v>192</v>
      </c>
      <c r="B64" s="103" t="s">
        <v>332</v>
      </c>
      <c r="C64" s="104" t="s">
        <v>117</v>
      </c>
      <c r="D64" s="137">
        <f>3.97*3.2*2+6.62*3.2*2-2.14*3.2-1.5*2-1.2*3.2</f>
        <v>54.088000000000008</v>
      </c>
      <c r="E64" s="137"/>
      <c r="F64" s="137">
        <f t="shared" ref="F64:F72" si="10">D64*E64</f>
        <v>0</v>
      </c>
    </row>
    <row r="65" spans="1:6" s="94" customFormat="1" ht="16.2">
      <c r="A65" s="102" t="s">
        <v>193</v>
      </c>
      <c r="B65" s="103" t="s">
        <v>131</v>
      </c>
      <c r="C65" s="104" t="s">
        <v>117</v>
      </c>
      <c r="D65" s="137">
        <f>3.43*3.2*2+6.62*3.2*2+2.84*3.2-1.2*3.2-1.23*2-1.5*2</f>
        <v>64.108000000000004</v>
      </c>
      <c r="E65" s="137"/>
      <c r="F65" s="137">
        <f t="shared" si="10"/>
        <v>0</v>
      </c>
    </row>
    <row r="66" spans="1:6" s="94" customFormat="1" ht="16.2">
      <c r="A66" s="102" t="s">
        <v>194</v>
      </c>
      <c r="B66" s="103" t="s">
        <v>132</v>
      </c>
      <c r="C66" s="104" t="s">
        <v>117</v>
      </c>
      <c r="D66" s="137">
        <f>4.79*3.2*2+6.04*3.2*2-1.5*2-2.14*3.2-0.98*2-1.23*2</f>
        <v>55.044000000000011</v>
      </c>
      <c r="E66" s="137"/>
      <c r="F66" s="137">
        <f t="shared" si="10"/>
        <v>0</v>
      </c>
    </row>
    <row r="67" spans="1:6" s="94" customFormat="1" ht="16.2">
      <c r="A67" s="102" t="s">
        <v>195</v>
      </c>
      <c r="B67" s="103" t="s">
        <v>133</v>
      </c>
      <c r="C67" s="104" t="s">
        <v>117</v>
      </c>
      <c r="D67" s="137">
        <f>6.04*3.2*2+3.76*3.2*2 +2.84*3.2-1.23*2-1.5*2</f>
        <v>66.348000000000013</v>
      </c>
      <c r="E67" s="137"/>
      <c r="F67" s="137">
        <f t="shared" si="10"/>
        <v>0</v>
      </c>
    </row>
    <row r="68" spans="1:6" s="94" customFormat="1" ht="16.2">
      <c r="A68" s="102" t="s">
        <v>196</v>
      </c>
      <c r="B68" s="103" t="s">
        <v>134</v>
      </c>
      <c r="C68" s="104" t="s">
        <v>117</v>
      </c>
      <c r="D68" s="137">
        <f>4.2*3.2*2+6.62*3.2*2-1.5*2-1.23*2</f>
        <v>63.788000000000004</v>
      </c>
      <c r="E68" s="137"/>
      <c r="F68" s="137">
        <f t="shared" si="10"/>
        <v>0</v>
      </c>
    </row>
    <row r="69" spans="1:6" s="94" customFormat="1" ht="16.2">
      <c r="A69" s="102" t="s">
        <v>197</v>
      </c>
      <c r="B69" s="103" t="s">
        <v>135</v>
      </c>
      <c r="C69" s="104" t="s">
        <v>117</v>
      </c>
      <c r="D69" s="137">
        <f>3.97*3.2*2+6.04*3.2*2-1.23*2-1.5*2</f>
        <v>58.604000000000006</v>
      </c>
      <c r="E69" s="137"/>
      <c r="F69" s="137">
        <f t="shared" si="10"/>
        <v>0</v>
      </c>
    </row>
    <row r="70" spans="1:6" s="94" customFormat="1" ht="16.2">
      <c r="A70" s="102" t="s">
        <v>198</v>
      </c>
      <c r="B70" s="103" t="s">
        <v>136</v>
      </c>
      <c r="C70" s="104" t="s">
        <v>117</v>
      </c>
      <c r="D70" s="137">
        <f>3.39*3.2*2+4.94*3.2*2-1*2*4</f>
        <v>45.312000000000005</v>
      </c>
      <c r="E70" s="137"/>
      <c r="F70" s="137">
        <f t="shared" si="10"/>
        <v>0</v>
      </c>
    </row>
    <row r="71" spans="1:6" s="94" customFormat="1" ht="16.2">
      <c r="A71" s="102" t="s">
        <v>199</v>
      </c>
      <c r="B71" s="103" t="s">
        <v>137</v>
      </c>
      <c r="C71" s="104" t="s">
        <v>117</v>
      </c>
      <c r="D71" s="137">
        <f>3.28*3.2*2+6.62*3.2*2-1.23*2-1.5*2</f>
        <v>57.9</v>
      </c>
      <c r="E71" s="137"/>
      <c r="F71" s="137">
        <f t="shared" ref="F71" si="11">D71*E71</f>
        <v>0</v>
      </c>
    </row>
    <row r="72" spans="1:6" s="94" customFormat="1" ht="16.2">
      <c r="A72" s="102" t="s">
        <v>200</v>
      </c>
      <c r="B72" s="103" t="s">
        <v>138</v>
      </c>
      <c r="C72" s="104" t="s">
        <v>117</v>
      </c>
      <c r="D72" s="137">
        <f>6*3.2*2+4.26*3.2*2-2.4*3.2-1*2*3</f>
        <v>51.984000000000002</v>
      </c>
      <c r="E72" s="137"/>
      <c r="F72" s="137">
        <f t="shared" si="10"/>
        <v>0</v>
      </c>
    </row>
    <row r="73" spans="1:6" s="94" customFormat="1" ht="16.2">
      <c r="A73" s="102" t="s">
        <v>201</v>
      </c>
      <c r="B73" s="103" t="s">
        <v>316</v>
      </c>
      <c r="C73" s="104" t="s">
        <v>117</v>
      </c>
      <c r="D73" s="137">
        <f>2.36*3.2*2+4.34*3.2*2+1.12*3.2*6-0.98*2-1*2*2</f>
        <v>58.423999999999999</v>
      </c>
      <c r="E73" s="137"/>
      <c r="F73" s="137">
        <f>D73*E73</f>
        <v>0</v>
      </c>
    </row>
    <row r="74" spans="1:6" s="94" customFormat="1" ht="16.2">
      <c r="A74" s="102" t="s">
        <v>202</v>
      </c>
      <c r="B74" s="103" t="s">
        <v>139</v>
      </c>
      <c r="C74" s="104" t="s">
        <v>117</v>
      </c>
      <c r="D74" s="137">
        <f>4.21*3.2*2+2.36*3.2*2-0.98*2-1*2*2</f>
        <v>36.088000000000001</v>
      </c>
      <c r="E74" s="137"/>
      <c r="F74" s="137">
        <f t="shared" ref="F74:F113" si="12">D74*E74</f>
        <v>0</v>
      </c>
    </row>
    <row r="75" spans="1:6" s="94" customFormat="1" ht="16.2">
      <c r="A75" s="102" t="s">
        <v>203</v>
      </c>
      <c r="B75" s="103" t="s">
        <v>140</v>
      </c>
      <c r="C75" s="104" t="s">
        <v>117</v>
      </c>
      <c r="D75" s="137">
        <f>4.34*3*2+3.72*3*2-0.98*2-1*2*3</f>
        <v>40.4</v>
      </c>
      <c r="E75" s="137"/>
      <c r="F75" s="137">
        <f t="shared" si="12"/>
        <v>0</v>
      </c>
    </row>
    <row r="76" spans="1:6" s="94" customFormat="1" ht="16.2">
      <c r="A76" s="102" t="s">
        <v>204</v>
      </c>
      <c r="B76" s="103" t="s">
        <v>141</v>
      </c>
      <c r="C76" s="104" t="s">
        <v>117</v>
      </c>
      <c r="D76" s="137">
        <f>4.34*3.2*2+2.48*3.2*2-1*2*2-0.98*2</f>
        <v>37.687999999999995</v>
      </c>
      <c r="E76" s="137"/>
      <c r="F76" s="137">
        <f t="shared" ref="F76:F83" si="13">D76*E76</f>
        <v>0</v>
      </c>
    </row>
    <row r="77" spans="1:6" s="94" customFormat="1" ht="16.2">
      <c r="A77" s="102" t="s">
        <v>205</v>
      </c>
      <c r="B77" s="103" t="s">
        <v>142</v>
      </c>
      <c r="C77" s="104" t="s">
        <v>117</v>
      </c>
      <c r="D77" s="137">
        <f>3.42*3.2*2+4.34*3.2*2-1.23*2-1*2*3</f>
        <v>41.204000000000001</v>
      </c>
      <c r="E77" s="137"/>
      <c r="F77" s="137">
        <f t="shared" si="13"/>
        <v>0</v>
      </c>
    </row>
    <row r="78" spans="1:6" s="94" customFormat="1" ht="16.2">
      <c r="A78" s="102" t="s">
        <v>206</v>
      </c>
      <c r="B78" s="103" t="s">
        <v>143</v>
      </c>
      <c r="C78" s="104" t="s">
        <v>117</v>
      </c>
      <c r="D78" s="137">
        <f>3.33*3.2*2+3.46*3.2*2-1.5*2-1.23*2-0.83*2</f>
        <v>36.336000000000006</v>
      </c>
      <c r="E78" s="137"/>
      <c r="F78" s="137">
        <f t="shared" si="13"/>
        <v>0</v>
      </c>
    </row>
    <row r="79" spans="1:6" s="94" customFormat="1" ht="16.2">
      <c r="A79" s="102" t="s">
        <v>207</v>
      </c>
      <c r="B79" s="103" t="s">
        <v>144</v>
      </c>
      <c r="C79" s="104" t="s">
        <v>117</v>
      </c>
      <c r="D79" s="137">
        <f>3.45*3.2*3+3.46*3.2*2-0.83*2-1.5*2-0.98*2</f>
        <v>48.644000000000013</v>
      </c>
      <c r="E79" s="137"/>
      <c r="F79" s="137">
        <f t="shared" si="13"/>
        <v>0</v>
      </c>
    </row>
    <row r="80" spans="1:6" s="94" customFormat="1" ht="16.2">
      <c r="A80" s="102" t="s">
        <v>208</v>
      </c>
      <c r="B80" s="103" t="s">
        <v>145</v>
      </c>
      <c r="C80" s="104" t="s">
        <v>117</v>
      </c>
      <c r="D80" s="137">
        <f>3.74*3.2*2+3.52*3.2*2-1*2-1*2*3</f>
        <v>38.464000000000006</v>
      </c>
      <c r="E80" s="137"/>
      <c r="F80" s="137">
        <f t="shared" ref="F80:F81" si="14">D80*E80</f>
        <v>0</v>
      </c>
    </row>
    <row r="81" spans="1:6" s="94" customFormat="1" ht="16.2">
      <c r="A81" s="102" t="s">
        <v>209</v>
      </c>
      <c r="B81" s="103" t="s">
        <v>146</v>
      </c>
      <c r="C81" s="104" t="s">
        <v>117</v>
      </c>
      <c r="D81" s="137">
        <f>4.34*3.2*3+4.84*3.2*4-1.23*2*2-1*2*4-1*2</f>
        <v>88.695999999999998</v>
      </c>
      <c r="E81" s="137"/>
      <c r="F81" s="137">
        <f t="shared" si="14"/>
        <v>0</v>
      </c>
    </row>
    <row r="82" spans="1:6" s="94" customFormat="1" ht="16.2">
      <c r="A82" s="102" t="s">
        <v>210</v>
      </c>
      <c r="B82" s="103" t="s">
        <v>115</v>
      </c>
      <c r="C82" s="104" t="s">
        <v>117</v>
      </c>
      <c r="D82" s="137">
        <f>2.92*3.2+4.46*3.2*2-1*2-1*2</f>
        <v>33.887999999999998</v>
      </c>
      <c r="E82" s="137"/>
      <c r="F82" s="137">
        <f t="shared" si="13"/>
        <v>0</v>
      </c>
    </row>
    <row r="83" spans="1:6" s="94" customFormat="1" ht="16.2">
      <c r="A83" s="102" t="s">
        <v>211</v>
      </c>
      <c r="B83" s="103" t="s">
        <v>147</v>
      </c>
      <c r="C83" s="104" t="s">
        <v>117</v>
      </c>
      <c r="D83" s="137">
        <f>6.62*3.2*2+3.7*3.2*2-1.5*2-0.98*2</f>
        <v>61.088000000000001</v>
      </c>
      <c r="E83" s="137"/>
      <c r="F83" s="137">
        <f t="shared" si="13"/>
        <v>0</v>
      </c>
    </row>
    <row r="84" spans="1:6" s="94" customFormat="1" ht="16.2">
      <c r="A84" s="102" t="s">
        <v>212</v>
      </c>
      <c r="B84" s="103" t="s">
        <v>175</v>
      </c>
      <c r="C84" s="104" t="s">
        <v>117</v>
      </c>
      <c r="D84" s="137">
        <f>4.34*3.2*2+2.19*3.2*2-0.98*2-1*2*2</f>
        <v>35.832000000000001</v>
      </c>
      <c r="E84" s="137"/>
      <c r="F84" s="137">
        <f t="shared" si="12"/>
        <v>0</v>
      </c>
    </row>
    <row r="85" spans="1:6" s="94" customFormat="1" ht="33" customHeight="1">
      <c r="A85" s="102" t="s">
        <v>213</v>
      </c>
      <c r="B85" s="103" t="s">
        <v>322</v>
      </c>
      <c r="C85" s="104"/>
      <c r="D85" s="137"/>
      <c r="E85" s="137"/>
      <c r="F85" s="137"/>
    </row>
    <row r="86" spans="1:6" s="94" customFormat="1" ht="16.2">
      <c r="A86" s="102" t="s">
        <v>216</v>
      </c>
      <c r="B86" s="103" t="s">
        <v>331</v>
      </c>
      <c r="C86" s="104" t="s">
        <v>117</v>
      </c>
      <c r="D86" s="137">
        <v>39.799999999999997</v>
      </c>
      <c r="E86" s="137"/>
      <c r="F86" s="137">
        <f>D86*E86</f>
        <v>0</v>
      </c>
    </row>
    <row r="87" spans="1:6" s="94" customFormat="1" ht="16.2">
      <c r="A87" s="102" t="s">
        <v>217</v>
      </c>
      <c r="B87" s="103" t="s">
        <v>332</v>
      </c>
      <c r="C87" s="104" t="s">
        <v>117</v>
      </c>
      <c r="D87" s="137">
        <v>25.9</v>
      </c>
      <c r="E87" s="137"/>
      <c r="F87" s="137">
        <f t="shared" ref="F87:F95" si="15">D87*E87</f>
        <v>0</v>
      </c>
    </row>
    <row r="88" spans="1:6" s="94" customFormat="1" ht="16.2">
      <c r="A88" s="102" t="s">
        <v>218</v>
      </c>
      <c r="B88" s="103" t="s">
        <v>131</v>
      </c>
      <c r="C88" s="104" t="s">
        <v>117</v>
      </c>
      <c r="D88" s="137">
        <v>22.08</v>
      </c>
      <c r="E88" s="137"/>
      <c r="F88" s="137">
        <f t="shared" si="15"/>
        <v>0</v>
      </c>
    </row>
    <row r="89" spans="1:6" s="94" customFormat="1" ht="16.2">
      <c r="A89" s="102" t="s">
        <v>219</v>
      </c>
      <c r="B89" s="103" t="s">
        <v>132</v>
      </c>
      <c r="C89" s="104" t="s">
        <v>117</v>
      </c>
      <c r="D89" s="137">
        <v>29.8</v>
      </c>
      <c r="E89" s="137"/>
      <c r="F89" s="137">
        <f t="shared" si="15"/>
        <v>0</v>
      </c>
    </row>
    <row r="90" spans="1:6" s="94" customFormat="1" ht="16.2">
      <c r="A90" s="102" t="s">
        <v>220</v>
      </c>
      <c r="B90" s="103" t="s">
        <v>133</v>
      </c>
      <c r="C90" s="104" t="s">
        <v>117</v>
      </c>
      <c r="D90" s="137">
        <v>21.66</v>
      </c>
      <c r="E90" s="137"/>
      <c r="F90" s="137">
        <f t="shared" si="15"/>
        <v>0</v>
      </c>
    </row>
    <row r="91" spans="1:6" s="94" customFormat="1" ht="16.2">
      <c r="A91" s="102" t="s">
        <v>221</v>
      </c>
      <c r="B91" s="103" t="s">
        <v>134</v>
      </c>
      <c r="C91" s="104" t="s">
        <v>117</v>
      </c>
      <c r="D91" s="137">
        <v>27.41</v>
      </c>
      <c r="E91" s="137"/>
      <c r="F91" s="137">
        <f t="shared" si="15"/>
        <v>0</v>
      </c>
    </row>
    <row r="92" spans="1:6" s="94" customFormat="1" ht="16.2">
      <c r="A92" s="102" t="s">
        <v>222</v>
      </c>
      <c r="B92" s="103" t="s">
        <v>135</v>
      </c>
      <c r="C92" s="104" t="s">
        <v>117</v>
      </c>
      <c r="D92" s="137">
        <v>23.95</v>
      </c>
      <c r="E92" s="137"/>
      <c r="F92" s="137">
        <f t="shared" si="15"/>
        <v>0</v>
      </c>
    </row>
    <row r="93" spans="1:6" s="94" customFormat="1" ht="16.2">
      <c r="A93" s="102" t="s">
        <v>223</v>
      </c>
      <c r="B93" s="103" t="s">
        <v>136</v>
      </c>
      <c r="C93" s="104" t="s">
        <v>117</v>
      </c>
      <c r="D93" s="137">
        <v>18.559999999999999</v>
      </c>
      <c r="E93" s="137"/>
      <c r="F93" s="137">
        <f t="shared" si="15"/>
        <v>0</v>
      </c>
    </row>
    <row r="94" spans="1:6" s="94" customFormat="1" ht="16.2">
      <c r="A94" s="102" t="s">
        <v>224</v>
      </c>
      <c r="B94" s="103" t="s">
        <v>137</v>
      </c>
      <c r="C94" s="104" t="s">
        <v>117</v>
      </c>
      <c r="D94" s="137">
        <v>21.15</v>
      </c>
      <c r="E94" s="137"/>
      <c r="F94" s="137">
        <f t="shared" si="15"/>
        <v>0</v>
      </c>
    </row>
    <row r="95" spans="1:6" s="94" customFormat="1" ht="16.2">
      <c r="A95" s="102" t="s">
        <v>225</v>
      </c>
      <c r="B95" s="103" t="s">
        <v>138</v>
      </c>
      <c r="C95" s="104" t="s">
        <v>117</v>
      </c>
      <c r="D95" s="137">
        <v>25.8</v>
      </c>
      <c r="E95" s="137"/>
      <c r="F95" s="137">
        <f t="shared" si="15"/>
        <v>0</v>
      </c>
    </row>
    <row r="96" spans="1:6" s="94" customFormat="1" ht="16.2">
      <c r="A96" s="102" t="s">
        <v>226</v>
      </c>
      <c r="B96" s="103" t="s">
        <v>316</v>
      </c>
      <c r="C96" s="104" t="s">
        <v>117</v>
      </c>
      <c r="D96" s="137">
        <v>10.5</v>
      </c>
      <c r="E96" s="137"/>
      <c r="F96" s="137">
        <f>D96*E96</f>
        <v>0</v>
      </c>
    </row>
    <row r="97" spans="1:6" s="94" customFormat="1" ht="16.2">
      <c r="A97" s="102" t="s">
        <v>227</v>
      </c>
      <c r="B97" s="103" t="s">
        <v>139</v>
      </c>
      <c r="C97" s="104" t="s">
        <v>117</v>
      </c>
      <c r="D97" s="137">
        <v>9.93</v>
      </c>
      <c r="E97" s="137"/>
      <c r="F97" s="137">
        <f t="shared" ref="F97:F107" si="16">D97*E97</f>
        <v>0</v>
      </c>
    </row>
    <row r="98" spans="1:6" s="94" customFormat="1" ht="16.2">
      <c r="A98" s="102" t="s">
        <v>228</v>
      </c>
      <c r="B98" s="103" t="s">
        <v>140</v>
      </c>
      <c r="C98" s="104" t="s">
        <v>117</v>
      </c>
      <c r="D98" s="137">
        <v>13.3</v>
      </c>
      <c r="E98" s="137"/>
      <c r="F98" s="137">
        <f t="shared" si="16"/>
        <v>0</v>
      </c>
    </row>
    <row r="99" spans="1:6" s="94" customFormat="1" ht="16.2">
      <c r="A99" s="102" t="s">
        <v>229</v>
      </c>
      <c r="B99" s="103" t="s">
        <v>141</v>
      </c>
      <c r="C99" s="104" t="s">
        <v>117</v>
      </c>
      <c r="D99" s="137">
        <v>10.74</v>
      </c>
      <c r="E99" s="137"/>
      <c r="F99" s="137">
        <f t="shared" si="16"/>
        <v>0</v>
      </c>
    </row>
    <row r="100" spans="1:6" s="94" customFormat="1" ht="16.2">
      <c r="A100" s="102" t="s">
        <v>230</v>
      </c>
      <c r="B100" s="103" t="s">
        <v>142</v>
      </c>
      <c r="C100" s="104" t="s">
        <v>117</v>
      </c>
      <c r="D100" s="137">
        <v>14.38</v>
      </c>
      <c r="E100" s="137"/>
      <c r="F100" s="137">
        <f t="shared" si="16"/>
        <v>0</v>
      </c>
    </row>
    <row r="101" spans="1:6" s="94" customFormat="1" ht="16.2">
      <c r="A101" s="102" t="s">
        <v>231</v>
      </c>
      <c r="B101" s="103" t="s">
        <v>143</v>
      </c>
      <c r="C101" s="104" t="s">
        <v>117</v>
      </c>
      <c r="D101" s="137">
        <v>11.52</v>
      </c>
      <c r="E101" s="137"/>
      <c r="F101" s="137">
        <f t="shared" si="16"/>
        <v>0</v>
      </c>
    </row>
    <row r="102" spans="1:6" s="94" customFormat="1" ht="16.2">
      <c r="A102" s="102" t="s">
        <v>232</v>
      </c>
      <c r="B102" s="103" t="s">
        <v>144</v>
      </c>
      <c r="C102" s="104" t="s">
        <v>117</v>
      </c>
      <c r="D102" s="137">
        <v>22.23</v>
      </c>
      <c r="E102" s="137"/>
      <c r="F102" s="137">
        <f t="shared" si="16"/>
        <v>0</v>
      </c>
    </row>
    <row r="103" spans="1:6" s="94" customFormat="1" ht="16.2">
      <c r="A103" s="102" t="s">
        <v>233</v>
      </c>
      <c r="B103" s="103" t="s">
        <v>145</v>
      </c>
      <c r="C103" s="104" t="s">
        <v>117</v>
      </c>
      <c r="D103" s="137">
        <v>14.46</v>
      </c>
      <c r="E103" s="137"/>
      <c r="F103" s="137">
        <f t="shared" si="16"/>
        <v>0</v>
      </c>
    </row>
    <row r="104" spans="1:6" s="94" customFormat="1" ht="16.2">
      <c r="A104" s="102" t="s">
        <v>234</v>
      </c>
      <c r="B104" s="103" t="s">
        <v>146</v>
      </c>
      <c r="C104" s="104" t="s">
        <v>117</v>
      </c>
      <c r="D104" s="137">
        <v>18.27</v>
      </c>
      <c r="E104" s="137"/>
      <c r="F104" s="137">
        <f t="shared" si="16"/>
        <v>0</v>
      </c>
    </row>
    <row r="105" spans="1:6" s="94" customFormat="1" ht="16.2">
      <c r="A105" s="102" t="s">
        <v>235</v>
      </c>
      <c r="B105" s="103" t="s">
        <v>115</v>
      </c>
      <c r="C105" s="104" t="s">
        <v>117</v>
      </c>
      <c r="D105" s="137">
        <v>13.15</v>
      </c>
      <c r="E105" s="137"/>
      <c r="F105" s="137">
        <f t="shared" si="16"/>
        <v>0</v>
      </c>
    </row>
    <row r="106" spans="1:6" s="94" customFormat="1" ht="16.2">
      <c r="A106" s="102" t="s">
        <v>236</v>
      </c>
      <c r="B106" s="103" t="s">
        <v>147</v>
      </c>
      <c r="C106" s="104" t="s">
        <v>117</v>
      </c>
      <c r="D106" s="137">
        <v>24.5</v>
      </c>
      <c r="E106" s="137"/>
      <c r="F106" s="137">
        <f t="shared" si="16"/>
        <v>0</v>
      </c>
    </row>
    <row r="107" spans="1:6" s="94" customFormat="1" ht="16.2">
      <c r="A107" s="102" t="s">
        <v>237</v>
      </c>
      <c r="B107" s="103" t="s">
        <v>175</v>
      </c>
      <c r="C107" s="104" t="s">
        <v>117</v>
      </c>
      <c r="D107" s="137">
        <v>8.3000000000000007</v>
      </c>
      <c r="E107" s="137"/>
      <c r="F107" s="137">
        <f t="shared" si="16"/>
        <v>0</v>
      </c>
    </row>
    <row r="108" spans="1:6" s="94" customFormat="1" ht="33" customHeight="1">
      <c r="A108" s="102" t="s">
        <v>214</v>
      </c>
      <c r="B108" s="103" t="s">
        <v>323</v>
      </c>
      <c r="C108" s="104"/>
      <c r="D108" s="137"/>
      <c r="E108" s="137"/>
      <c r="F108" s="137"/>
    </row>
    <row r="109" spans="1:6" s="94" customFormat="1" ht="16.2">
      <c r="A109" s="102" t="s">
        <v>215</v>
      </c>
      <c r="B109" s="103" t="s">
        <v>159</v>
      </c>
      <c r="C109" s="104" t="s">
        <v>117</v>
      </c>
      <c r="D109" s="137">
        <v>103.8</v>
      </c>
      <c r="E109" s="137"/>
      <c r="F109" s="137">
        <f>D109*E109</f>
        <v>0</v>
      </c>
    </row>
    <row r="110" spans="1:6" s="94" customFormat="1" ht="30" customHeight="1">
      <c r="A110" s="145" t="s">
        <v>317</v>
      </c>
      <c r="B110" s="103" t="s">
        <v>325</v>
      </c>
      <c r="C110" s="104"/>
      <c r="D110" s="137"/>
      <c r="E110" s="137"/>
      <c r="F110" s="137"/>
    </row>
    <row r="111" spans="1:6" s="94" customFormat="1" ht="16.2">
      <c r="A111" s="102" t="s">
        <v>318</v>
      </c>
      <c r="B111" s="103" t="s">
        <v>320</v>
      </c>
      <c r="C111" s="104" t="s">
        <v>117</v>
      </c>
      <c r="D111" s="137">
        <f>2.4*3.2</f>
        <v>7.68</v>
      </c>
      <c r="E111" s="137"/>
      <c r="F111" s="137">
        <f t="shared" ref="F111" si="17">D111*E111</f>
        <v>0</v>
      </c>
    </row>
    <row r="112" spans="1:6" s="94" customFormat="1" ht="16.2">
      <c r="A112" s="102" t="s">
        <v>319</v>
      </c>
      <c r="B112" s="103" t="s">
        <v>129</v>
      </c>
      <c r="C112" s="104" t="s">
        <v>117</v>
      </c>
      <c r="D112" s="137">
        <f>2.4*3.2</f>
        <v>7.68</v>
      </c>
      <c r="E112" s="137"/>
      <c r="F112" s="137">
        <f t="shared" si="12"/>
        <v>0</v>
      </c>
    </row>
    <row r="113" spans="1:26" s="94" customFormat="1" ht="16.8" thickBot="1">
      <c r="A113" s="102" t="s">
        <v>321</v>
      </c>
      <c r="B113" s="103" t="s">
        <v>130</v>
      </c>
      <c r="C113" s="104" t="s">
        <v>117</v>
      </c>
      <c r="D113" s="137">
        <f>2.4*3.2*2</f>
        <v>15.36</v>
      </c>
      <c r="E113" s="137"/>
      <c r="F113" s="137">
        <f t="shared" si="12"/>
        <v>0</v>
      </c>
    </row>
    <row r="114" spans="1:26" s="15" customFormat="1" ht="15" thickBot="1">
      <c r="A114" s="101" t="s">
        <v>10</v>
      </c>
      <c r="B114" s="88" t="s">
        <v>17</v>
      </c>
      <c r="C114" s="89"/>
      <c r="D114" s="127"/>
      <c r="E114" s="127"/>
      <c r="F114" s="128">
        <f>SUM(F61:F113)</f>
        <v>0</v>
      </c>
    </row>
    <row r="115" spans="1:26" s="94" customFormat="1">
      <c r="A115" s="26" t="s">
        <v>11</v>
      </c>
      <c r="B115" s="91" t="s">
        <v>124</v>
      </c>
      <c r="C115" s="100"/>
      <c r="D115" s="122"/>
      <c r="E115" s="122"/>
      <c r="F115" s="123"/>
    </row>
    <row r="116" spans="1:26" s="94" customFormat="1" ht="28.8">
      <c r="A116" s="102" t="s">
        <v>50</v>
      </c>
      <c r="B116" s="103" t="s">
        <v>125</v>
      </c>
      <c r="C116" s="104"/>
      <c r="D116" s="137"/>
      <c r="E116" s="137"/>
      <c r="F116" s="137"/>
    </row>
    <row r="117" spans="1:26" s="94" customFormat="1" ht="16.2">
      <c r="A117" s="102" t="s">
        <v>51</v>
      </c>
      <c r="B117" s="103" t="s">
        <v>129</v>
      </c>
      <c r="C117" s="104" t="s">
        <v>117</v>
      </c>
      <c r="D117" s="137">
        <v>4</v>
      </c>
      <c r="E117" s="137"/>
      <c r="F117" s="137">
        <f>D117*E117</f>
        <v>0</v>
      </c>
    </row>
    <row r="118" spans="1:26" s="94" customFormat="1" ht="16.8" thickBot="1">
      <c r="A118" s="102" t="s">
        <v>154</v>
      </c>
      <c r="B118" s="103" t="s">
        <v>130</v>
      </c>
      <c r="C118" s="104" t="s">
        <v>117</v>
      </c>
      <c r="D118" s="137">
        <v>6</v>
      </c>
      <c r="E118" s="137"/>
      <c r="F118" s="137">
        <f>D118*E118</f>
        <v>0</v>
      </c>
    </row>
    <row r="119" spans="1:26" s="15" customFormat="1" ht="15" thickBot="1">
      <c r="A119" s="101" t="s">
        <v>11</v>
      </c>
      <c r="B119" s="88" t="s">
        <v>367</v>
      </c>
      <c r="C119" s="89"/>
      <c r="D119" s="127"/>
      <c r="E119" s="127"/>
      <c r="F119" s="128">
        <f>SUM(F117:F118)</f>
        <v>0</v>
      </c>
    </row>
    <row r="120" spans="1:26" ht="15.6">
      <c r="A120" s="26" t="s">
        <v>58</v>
      </c>
      <c r="B120" s="87" t="s">
        <v>52</v>
      </c>
      <c r="C120" s="65"/>
      <c r="D120" s="67"/>
      <c r="E120" s="68"/>
      <c r="F120" s="70"/>
    </row>
    <row r="121" spans="1:26" s="81" customFormat="1" ht="48" customHeight="1">
      <c r="A121" s="102"/>
      <c r="B121" s="103" t="s">
        <v>112</v>
      </c>
      <c r="C121" s="104"/>
      <c r="D121" s="137"/>
      <c r="E121" s="137"/>
      <c r="F121" s="137"/>
      <c r="G121" s="82"/>
      <c r="H121" s="83"/>
      <c r="I121" s="83"/>
      <c r="J121" s="83"/>
      <c r="K121" s="83"/>
      <c r="L121" s="83"/>
      <c r="M121" s="83"/>
      <c r="N121" s="83"/>
      <c r="O121" s="83"/>
      <c r="P121" s="83"/>
      <c r="Q121" s="83"/>
      <c r="R121" s="83"/>
      <c r="S121" s="83"/>
      <c r="T121" s="83"/>
      <c r="U121" s="83"/>
      <c r="V121" s="83"/>
      <c r="W121" s="83"/>
      <c r="X121" s="83"/>
      <c r="Y121" s="83"/>
      <c r="Z121" s="83"/>
    </row>
    <row r="122" spans="1:26" customFormat="1" ht="15.75" customHeight="1">
      <c r="A122" s="141" t="s">
        <v>356</v>
      </c>
      <c r="B122" s="142" t="s">
        <v>355</v>
      </c>
      <c r="C122" s="140"/>
      <c r="D122" s="124"/>
      <c r="E122" s="126"/>
      <c r="F122" s="126"/>
      <c r="G122" s="90"/>
      <c r="H122" s="90"/>
      <c r="I122" s="90"/>
      <c r="J122" s="90"/>
      <c r="K122" s="90"/>
      <c r="L122" s="90"/>
      <c r="M122" s="90"/>
      <c r="N122" s="90"/>
      <c r="O122" s="90"/>
      <c r="P122" s="90"/>
      <c r="Q122" s="90"/>
      <c r="R122" s="90"/>
      <c r="S122" s="90"/>
      <c r="T122" s="90"/>
      <c r="U122" s="90"/>
      <c r="V122" s="90"/>
      <c r="W122" s="90"/>
      <c r="X122" s="90"/>
      <c r="Y122" s="90"/>
      <c r="Z122" s="90"/>
    </row>
    <row r="123" spans="1:26" customFormat="1" ht="33" customHeight="1">
      <c r="A123" s="143" t="s">
        <v>357</v>
      </c>
      <c r="B123" s="93" t="s">
        <v>358</v>
      </c>
      <c r="C123" s="140"/>
      <c r="D123" s="124"/>
      <c r="E123" s="126"/>
      <c r="F123" s="126"/>
      <c r="G123" s="90"/>
      <c r="H123" s="90"/>
      <c r="I123" s="90"/>
      <c r="J123" s="90"/>
      <c r="K123" s="90"/>
      <c r="L123" s="90"/>
      <c r="M123" s="90"/>
      <c r="N123" s="90"/>
      <c r="O123" s="90"/>
      <c r="P123" s="90"/>
      <c r="Q123" s="90"/>
      <c r="R123" s="90"/>
      <c r="S123" s="90"/>
      <c r="T123" s="90"/>
      <c r="U123" s="90"/>
      <c r="V123" s="90"/>
      <c r="W123" s="90"/>
      <c r="X123" s="90"/>
      <c r="Y123" s="90"/>
      <c r="Z123" s="90"/>
    </row>
    <row r="124" spans="1:26" customFormat="1" ht="15.75" customHeight="1">
      <c r="A124" s="143"/>
      <c r="B124" s="93" t="s">
        <v>366</v>
      </c>
      <c r="C124" s="140"/>
      <c r="D124" s="124"/>
      <c r="E124" s="126"/>
      <c r="F124" s="126"/>
      <c r="G124" s="105"/>
      <c r="H124" s="90"/>
      <c r="I124" s="90"/>
      <c r="J124" s="90"/>
      <c r="K124" s="90"/>
      <c r="L124" s="90"/>
      <c r="M124" s="90"/>
      <c r="N124" s="90"/>
      <c r="O124" s="90"/>
      <c r="P124" s="90"/>
      <c r="Q124" s="90"/>
      <c r="R124" s="90"/>
      <c r="S124" s="90"/>
      <c r="T124" s="90"/>
      <c r="U124" s="90"/>
      <c r="V124" s="90"/>
      <c r="W124" s="90"/>
      <c r="X124" s="90"/>
      <c r="Y124" s="90"/>
      <c r="Z124" s="90"/>
    </row>
    <row r="125" spans="1:26" customFormat="1" ht="15.75" customHeight="1">
      <c r="A125" s="143"/>
      <c r="B125" s="93" t="s">
        <v>359</v>
      </c>
      <c r="C125" s="140"/>
      <c r="D125" s="124"/>
      <c r="E125" s="126"/>
      <c r="F125" s="126"/>
      <c r="G125" s="90"/>
      <c r="H125" s="90"/>
      <c r="I125" s="90"/>
      <c r="J125" s="90"/>
      <c r="K125" s="90"/>
      <c r="L125" s="90"/>
      <c r="M125" s="90"/>
      <c r="N125" s="90"/>
      <c r="O125" s="90"/>
      <c r="P125" s="90"/>
      <c r="Q125" s="90"/>
      <c r="R125" s="90"/>
      <c r="S125" s="90"/>
      <c r="T125" s="90"/>
      <c r="U125" s="90"/>
      <c r="V125" s="90"/>
      <c r="W125" s="90"/>
      <c r="X125" s="90"/>
      <c r="Y125" s="90"/>
      <c r="Z125" s="90"/>
    </row>
    <row r="126" spans="1:26" customFormat="1" ht="15.75" customHeight="1">
      <c r="A126" s="143"/>
      <c r="B126" s="93" t="s">
        <v>360</v>
      </c>
      <c r="C126" s="140"/>
      <c r="D126" s="124"/>
      <c r="E126" s="126"/>
      <c r="F126" s="126"/>
      <c r="G126" s="105"/>
      <c r="H126" s="90"/>
      <c r="I126" s="90"/>
      <c r="J126" s="90"/>
      <c r="K126" s="90"/>
      <c r="L126" s="90"/>
      <c r="M126" s="90"/>
      <c r="N126" s="90"/>
      <c r="O126" s="90"/>
      <c r="P126" s="90"/>
      <c r="Q126" s="90"/>
      <c r="R126" s="90"/>
      <c r="S126" s="90"/>
      <c r="T126" s="90"/>
      <c r="U126" s="90"/>
      <c r="V126" s="90"/>
      <c r="W126" s="90"/>
      <c r="X126" s="90"/>
      <c r="Y126" s="90"/>
      <c r="Z126" s="90"/>
    </row>
    <row r="127" spans="1:26" customFormat="1" ht="15.75" customHeight="1">
      <c r="A127" s="143"/>
      <c r="B127" s="93" t="s">
        <v>361</v>
      </c>
      <c r="C127" s="140"/>
      <c r="D127" s="124"/>
      <c r="E127" s="126"/>
      <c r="F127" s="126"/>
      <c r="G127" s="90"/>
      <c r="H127" s="90"/>
      <c r="I127" s="90"/>
      <c r="J127" s="90"/>
      <c r="K127" s="90"/>
      <c r="L127" s="90"/>
      <c r="M127" s="90"/>
      <c r="N127" s="90"/>
      <c r="O127" s="90"/>
      <c r="P127" s="90"/>
      <c r="Q127" s="90"/>
      <c r="R127" s="90"/>
      <c r="S127" s="90"/>
      <c r="T127" s="90"/>
      <c r="U127" s="90"/>
      <c r="V127" s="90"/>
      <c r="W127" s="90"/>
      <c r="X127" s="90"/>
      <c r="Y127" s="90"/>
      <c r="Z127" s="90"/>
    </row>
    <row r="128" spans="1:26" customFormat="1" ht="15.75" customHeight="1">
      <c r="A128" s="143"/>
      <c r="B128" s="93" t="s">
        <v>362</v>
      </c>
      <c r="C128" s="140"/>
      <c r="D128" s="124"/>
      <c r="E128" s="126"/>
      <c r="F128" s="126"/>
      <c r="G128" s="90"/>
      <c r="H128" s="90"/>
      <c r="I128" s="90"/>
      <c r="J128" s="90"/>
      <c r="K128" s="90"/>
      <c r="L128" s="90"/>
      <c r="M128" s="90"/>
      <c r="N128" s="90"/>
      <c r="O128" s="90"/>
      <c r="P128" s="90"/>
      <c r="Q128" s="90"/>
      <c r="R128" s="90"/>
      <c r="S128" s="90"/>
      <c r="T128" s="90"/>
      <c r="U128" s="90"/>
      <c r="V128" s="90"/>
      <c r="W128" s="90"/>
      <c r="X128" s="90"/>
      <c r="Y128" s="90"/>
      <c r="Z128" s="90"/>
    </row>
    <row r="129" spans="1:26" customFormat="1" ht="15.75" customHeight="1">
      <c r="A129" s="143"/>
      <c r="B129" s="93" t="s">
        <v>363</v>
      </c>
      <c r="C129" s="140"/>
      <c r="D129" s="124"/>
      <c r="E129" s="126"/>
      <c r="F129" s="126"/>
      <c r="G129" s="105"/>
      <c r="H129" s="90"/>
      <c r="I129" s="90"/>
      <c r="J129" s="90"/>
      <c r="K129" s="90"/>
      <c r="L129" s="90"/>
      <c r="M129" s="90"/>
      <c r="N129" s="90"/>
      <c r="O129" s="90"/>
      <c r="P129" s="90"/>
      <c r="Q129" s="90"/>
      <c r="R129" s="90"/>
      <c r="S129" s="90"/>
      <c r="T129" s="90"/>
      <c r="U129" s="90"/>
      <c r="V129" s="90"/>
      <c r="W129" s="90"/>
      <c r="X129" s="90"/>
      <c r="Y129" s="90"/>
      <c r="Z129" s="90"/>
    </row>
    <row r="130" spans="1:26" customFormat="1" ht="15.75" customHeight="1">
      <c r="A130" s="143"/>
      <c r="B130" s="93" t="s">
        <v>364</v>
      </c>
      <c r="C130" s="140"/>
      <c r="D130" s="124"/>
      <c r="E130" s="126"/>
      <c r="F130" s="126"/>
      <c r="G130" s="90"/>
      <c r="H130" s="90"/>
      <c r="I130" s="90"/>
      <c r="J130" s="90"/>
      <c r="K130" s="90"/>
      <c r="L130" s="90"/>
      <c r="M130" s="90"/>
      <c r="N130" s="90"/>
      <c r="O130" s="90"/>
      <c r="P130" s="90"/>
      <c r="Q130" s="90"/>
      <c r="R130" s="90"/>
      <c r="S130" s="90"/>
      <c r="T130" s="90"/>
      <c r="U130" s="90"/>
      <c r="V130" s="90"/>
      <c r="W130" s="90"/>
      <c r="X130" s="90"/>
      <c r="Y130" s="90"/>
      <c r="Z130" s="90"/>
    </row>
    <row r="131" spans="1:26" customFormat="1" ht="15.75" customHeight="1">
      <c r="A131" s="143"/>
      <c r="B131" s="93" t="s">
        <v>365</v>
      </c>
      <c r="C131" s="140"/>
      <c r="D131" s="124"/>
      <c r="E131" s="126"/>
      <c r="F131" s="126"/>
      <c r="G131" s="90"/>
      <c r="H131" s="90"/>
      <c r="I131" s="90"/>
      <c r="J131" s="90"/>
      <c r="K131" s="90"/>
      <c r="L131" s="90"/>
      <c r="M131" s="90"/>
      <c r="N131" s="90"/>
      <c r="O131" s="90"/>
      <c r="P131" s="90"/>
      <c r="Q131" s="90"/>
      <c r="R131" s="90"/>
      <c r="S131" s="90"/>
      <c r="T131" s="90"/>
      <c r="U131" s="90"/>
      <c r="V131" s="90"/>
      <c r="W131" s="90"/>
      <c r="X131" s="90"/>
      <c r="Y131" s="90"/>
      <c r="Z131" s="90"/>
    </row>
    <row r="132" spans="1:26" customFormat="1" ht="15.75" customHeight="1">
      <c r="A132" s="143"/>
      <c r="B132" s="93" t="s">
        <v>148</v>
      </c>
      <c r="C132" s="140" t="s">
        <v>13</v>
      </c>
      <c r="D132" s="124">
        <v>1</v>
      </c>
      <c r="E132" s="126"/>
      <c r="F132" s="126">
        <f>D132*E132</f>
        <v>0</v>
      </c>
      <c r="G132" s="90"/>
      <c r="H132" s="90"/>
      <c r="I132" s="90"/>
      <c r="J132" s="90"/>
      <c r="K132" s="90"/>
      <c r="L132" s="90"/>
      <c r="M132" s="90"/>
      <c r="N132" s="90"/>
      <c r="O132" s="90"/>
      <c r="P132" s="90"/>
      <c r="Q132" s="90"/>
      <c r="R132" s="90"/>
      <c r="S132" s="90"/>
      <c r="T132" s="90"/>
      <c r="U132" s="90"/>
      <c r="V132" s="90"/>
      <c r="W132" s="90"/>
      <c r="X132" s="90"/>
      <c r="Y132" s="90"/>
      <c r="Z132" s="90"/>
    </row>
    <row r="133" spans="1:26" s="81" customFormat="1" ht="15.75" customHeight="1">
      <c r="A133" s="145">
        <v>6.2</v>
      </c>
      <c r="B133" s="144" t="s">
        <v>61</v>
      </c>
      <c r="C133" s="104"/>
      <c r="D133" s="137"/>
      <c r="E133" s="137"/>
      <c r="F133" s="137"/>
      <c r="G133" s="84"/>
      <c r="H133" s="83"/>
      <c r="I133" s="83"/>
      <c r="J133" s="83"/>
      <c r="K133" s="83"/>
      <c r="L133" s="83"/>
      <c r="M133" s="83"/>
      <c r="N133" s="83"/>
      <c r="O133" s="83"/>
      <c r="P133" s="83"/>
      <c r="Q133" s="83"/>
      <c r="R133" s="83"/>
      <c r="S133" s="83"/>
      <c r="T133" s="83"/>
      <c r="U133" s="83"/>
      <c r="V133" s="83"/>
      <c r="W133" s="83"/>
      <c r="X133" s="83"/>
      <c r="Y133" s="83"/>
      <c r="Z133" s="83"/>
    </row>
    <row r="134" spans="1:26" s="81" customFormat="1" ht="49.95" customHeight="1">
      <c r="A134" s="102"/>
      <c r="B134" s="103" t="s">
        <v>113</v>
      </c>
      <c r="C134" s="104"/>
      <c r="D134" s="137"/>
      <c r="E134" s="137"/>
      <c r="F134" s="137"/>
      <c r="G134" s="84"/>
      <c r="H134" s="83"/>
      <c r="I134" s="83"/>
      <c r="J134" s="83"/>
      <c r="K134" s="83"/>
      <c r="L134" s="83"/>
      <c r="M134" s="83"/>
      <c r="N134" s="83"/>
      <c r="O134" s="83"/>
      <c r="P134" s="83"/>
      <c r="Q134" s="83"/>
      <c r="R134" s="83"/>
      <c r="S134" s="83"/>
      <c r="T134" s="83"/>
      <c r="U134" s="83"/>
      <c r="V134" s="83"/>
      <c r="W134" s="83"/>
      <c r="X134" s="83"/>
      <c r="Y134" s="83"/>
      <c r="Z134" s="83"/>
    </row>
    <row r="135" spans="1:26" s="94" customFormat="1">
      <c r="A135" s="102" t="s">
        <v>238</v>
      </c>
      <c r="B135" s="103" t="s">
        <v>331</v>
      </c>
      <c r="C135" s="104" t="s">
        <v>13</v>
      </c>
      <c r="D135" s="137">
        <v>40</v>
      </c>
      <c r="E135" s="126"/>
      <c r="F135" s="137">
        <f>D135*E135</f>
        <v>0</v>
      </c>
    </row>
    <row r="136" spans="1:26" s="94" customFormat="1">
      <c r="A136" s="102" t="s">
        <v>239</v>
      </c>
      <c r="B136" s="103" t="s">
        <v>332</v>
      </c>
      <c r="C136" s="104" t="s">
        <v>13</v>
      </c>
      <c r="D136" s="137">
        <v>20</v>
      </c>
      <c r="E136" s="126"/>
      <c r="F136" s="137">
        <f t="shared" ref="F136:F144" si="18">D136*E136</f>
        <v>0</v>
      </c>
    </row>
    <row r="137" spans="1:26" s="94" customFormat="1">
      <c r="A137" s="102" t="s">
        <v>240</v>
      </c>
      <c r="B137" s="103" t="s">
        <v>131</v>
      </c>
      <c r="C137" s="104" t="s">
        <v>13</v>
      </c>
      <c r="D137" s="137">
        <v>30</v>
      </c>
      <c r="E137" s="126"/>
      <c r="F137" s="137">
        <f t="shared" si="18"/>
        <v>0</v>
      </c>
    </row>
    <row r="138" spans="1:26" s="94" customFormat="1">
      <c r="A138" s="102" t="s">
        <v>241</v>
      </c>
      <c r="B138" s="103" t="s">
        <v>132</v>
      </c>
      <c r="C138" s="104" t="s">
        <v>13</v>
      </c>
      <c r="D138" s="137">
        <v>20</v>
      </c>
      <c r="E138" s="126"/>
      <c r="F138" s="137">
        <f t="shared" si="18"/>
        <v>0</v>
      </c>
    </row>
    <row r="139" spans="1:26" s="94" customFormat="1">
      <c r="A139" s="102" t="s">
        <v>242</v>
      </c>
      <c r="B139" s="103" t="s">
        <v>133</v>
      </c>
      <c r="C139" s="104" t="s">
        <v>13</v>
      </c>
      <c r="D139" s="137">
        <v>20</v>
      </c>
      <c r="E139" s="126"/>
      <c r="F139" s="137">
        <f t="shared" si="18"/>
        <v>0</v>
      </c>
    </row>
    <row r="140" spans="1:26" s="94" customFormat="1">
      <c r="A140" s="102" t="s">
        <v>243</v>
      </c>
      <c r="B140" s="103" t="s">
        <v>134</v>
      </c>
      <c r="C140" s="21" t="s">
        <v>13</v>
      </c>
      <c r="D140" s="137">
        <v>35</v>
      </c>
      <c r="E140" s="126"/>
      <c r="F140" s="137">
        <f t="shared" si="18"/>
        <v>0</v>
      </c>
    </row>
    <row r="141" spans="1:26" s="94" customFormat="1">
      <c r="A141" s="102" t="s">
        <v>244</v>
      </c>
      <c r="B141" s="103" t="s">
        <v>135</v>
      </c>
      <c r="C141" s="21" t="s">
        <v>13</v>
      </c>
      <c r="D141" s="137">
        <v>20</v>
      </c>
      <c r="E141" s="126"/>
      <c r="F141" s="137">
        <f t="shared" si="18"/>
        <v>0</v>
      </c>
    </row>
    <row r="142" spans="1:26" s="94" customFormat="1">
      <c r="A142" s="102" t="s">
        <v>245</v>
      </c>
      <c r="B142" s="103" t="s">
        <v>136</v>
      </c>
      <c r="C142" s="21" t="s">
        <v>13</v>
      </c>
      <c r="D142" s="137">
        <v>8</v>
      </c>
      <c r="E142" s="126"/>
      <c r="F142" s="137">
        <f t="shared" si="18"/>
        <v>0</v>
      </c>
    </row>
    <row r="143" spans="1:26" s="94" customFormat="1">
      <c r="A143" s="102" t="s">
        <v>246</v>
      </c>
      <c r="B143" s="103" t="s">
        <v>137</v>
      </c>
      <c r="C143" s="21" t="s">
        <v>13</v>
      </c>
      <c r="D143" s="137">
        <v>16</v>
      </c>
      <c r="E143" s="126"/>
      <c r="F143" s="137">
        <f t="shared" ref="F143" si="19">D143*E143</f>
        <v>0</v>
      </c>
    </row>
    <row r="144" spans="1:26" s="94" customFormat="1">
      <c r="A144" s="102" t="s">
        <v>247</v>
      </c>
      <c r="B144" s="103" t="s">
        <v>138</v>
      </c>
      <c r="C144" s="21" t="s">
        <v>13</v>
      </c>
      <c r="D144" s="137">
        <v>4</v>
      </c>
      <c r="E144" s="126"/>
      <c r="F144" s="137">
        <f t="shared" si="18"/>
        <v>0</v>
      </c>
    </row>
    <row r="145" spans="1:26" s="94" customFormat="1">
      <c r="A145" s="102" t="s">
        <v>248</v>
      </c>
      <c r="B145" s="103" t="s">
        <v>139</v>
      </c>
      <c r="C145" s="21" t="s">
        <v>13</v>
      </c>
      <c r="D145" s="137">
        <v>4</v>
      </c>
      <c r="E145" s="126"/>
      <c r="F145" s="137">
        <f t="shared" ref="F145:F152" si="20">D145*E145</f>
        <v>0</v>
      </c>
    </row>
    <row r="146" spans="1:26" s="94" customFormat="1">
      <c r="A146" s="102" t="s">
        <v>249</v>
      </c>
      <c r="B146" s="103" t="s">
        <v>140</v>
      </c>
      <c r="C146" s="21" t="s">
        <v>13</v>
      </c>
      <c r="D146" s="137">
        <v>1</v>
      </c>
      <c r="E146" s="126"/>
      <c r="F146" s="137">
        <f t="shared" si="20"/>
        <v>0</v>
      </c>
    </row>
    <row r="147" spans="1:26" s="94" customFormat="1">
      <c r="A147" s="102" t="s">
        <v>250</v>
      </c>
      <c r="B147" s="103" t="s">
        <v>141</v>
      </c>
      <c r="C147" s="21" t="s">
        <v>13</v>
      </c>
      <c r="D147" s="137">
        <v>4</v>
      </c>
      <c r="E147" s="126"/>
      <c r="F147" s="137">
        <f t="shared" si="20"/>
        <v>0</v>
      </c>
    </row>
    <row r="148" spans="1:26" s="94" customFormat="1">
      <c r="A148" s="102" t="s">
        <v>251</v>
      </c>
      <c r="B148" s="103" t="s">
        <v>142</v>
      </c>
      <c r="C148" s="21" t="s">
        <v>13</v>
      </c>
      <c r="D148" s="137">
        <v>4</v>
      </c>
      <c r="E148" s="126"/>
      <c r="F148" s="137">
        <f t="shared" si="20"/>
        <v>0</v>
      </c>
    </row>
    <row r="149" spans="1:26" s="94" customFormat="1">
      <c r="A149" s="102" t="s">
        <v>252</v>
      </c>
      <c r="B149" s="103" t="s">
        <v>143</v>
      </c>
      <c r="C149" s="21" t="s">
        <v>13</v>
      </c>
      <c r="D149" s="137">
        <v>4</v>
      </c>
      <c r="E149" s="126"/>
      <c r="F149" s="137">
        <f t="shared" si="20"/>
        <v>0</v>
      </c>
    </row>
    <row r="150" spans="1:26" s="94" customFormat="1">
      <c r="A150" s="102" t="s">
        <v>253</v>
      </c>
      <c r="B150" s="103" t="s">
        <v>145</v>
      </c>
      <c r="C150" s="21" t="s">
        <v>13</v>
      </c>
      <c r="D150" s="137">
        <v>4</v>
      </c>
      <c r="E150" s="126"/>
      <c r="F150" s="137">
        <f t="shared" si="20"/>
        <v>0</v>
      </c>
    </row>
    <row r="151" spans="1:26" s="94" customFormat="1">
      <c r="A151" s="102" t="s">
        <v>254</v>
      </c>
      <c r="B151" s="103" t="s">
        <v>115</v>
      </c>
      <c r="C151" s="21" t="s">
        <v>13</v>
      </c>
      <c r="D151" s="137">
        <v>8</v>
      </c>
      <c r="E151" s="126"/>
      <c r="F151" s="137">
        <f t="shared" si="20"/>
        <v>0</v>
      </c>
    </row>
    <row r="152" spans="1:26" s="94" customFormat="1">
      <c r="A152" s="102" t="s">
        <v>255</v>
      </c>
      <c r="B152" s="103" t="s">
        <v>147</v>
      </c>
      <c r="C152" s="21" t="s">
        <v>13</v>
      </c>
      <c r="D152" s="137">
        <v>10</v>
      </c>
      <c r="E152" s="126"/>
      <c r="F152" s="137">
        <f t="shared" si="20"/>
        <v>0</v>
      </c>
    </row>
    <row r="153" spans="1:26" s="81" customFormat="1" ht="15.75" customHeight="1">
      <c r="A153" s="145">
        <v>6.3</v>
      </c>
      <c r="B153" s="144" t="s">
        <v>62</v>
      </c>
      <c r="C153" s="21"/>
      <c r="D153" s="124"/>
      <c r="E153" s="126"/>
      <c r="F153" s="126"/>
      <c r="G153" s="84"/>
      <c r="H153" s="83"/>
      <c r="I153" s="83"/>
      <c r="J153" s="83"/>
      <c r="K153" s="83"/>
      <c r="L153" s="83"/>
      <c r="M153" s="83"/>
      <c r="N153" s="83"/>
      <c r="O153" s="83"/>
      <c r="P153" s="83"/>
      <c r="Q153" s="83"/>
      <c r="R153" s="83"/>
      <c r="S153" s="83"/>
      <c r="T153" s="83"/>
      <c r="U153" s="83"/>
      <c r="V153" s="83"/>
      <c r="W153" s="83"/>
      <c r="X153" s="83"/>
      <c r="Y153" s="83"/>
      <c r="Z153" s="83"/>
    </row>
    <row r="154" spans="1:26" s="81" customFormat="1" ht="15.75" customHeight="1">
      <c r="A154" s="102"/>
      <c r="B154" s="103" t="s">
        <v>386</v>
      </c>
      <c r="C154" s="21"/>
      <c r="D154" s="124"/>
      <c r="E154" s="126"/>
      <c r="F154" s="126"/>
      <c r="G154" s="84"/>
      <c r="H154" s="83"/>
      <c r="I154" s="83"/>
      <c r="J154" s="83"/>
      <c r="K154" s="83"/>
      <c r="L154" s="83"/>
      <c r="M154" s="83"/>
      <c r="N154" s="83"/>
      <c r="O154" s="83"/>
      <c r="P154" s="83"/>
      <c r="Q154" s="83"/>
      <c r="R154" s="83"/>
      <c r="S154" s="83"/>
      <c r="T154" s="83"/>
      <c r="U154" s="83"/>
      <c r="V154" s="83"/>
      <c r="W154" s="83"/>
      <c r="X154" s="83"/>
      <c r="Y154" s="83"/>
      <c r="Z154" s="83"/>
    </row>
    <row r="155" spans="1:26" s="94" customFormat="1">
      <c r="A155" s="102" t="s">
        <v>256</v>
      </c>
      <c r="B155" s="103" t="s">
        <v>331</v>
      </c>
      <c r="C155" s="21" t="s">
        <v>13</v>
      </c>
      <c r="D155" s="137">
        <v>40</v>
      </c>
      <c r="E155" s="126"/>
      <c r="F155" s="137">
        <f>D155*E155</f>
        <v>0</v>
      </c>
    </row>
    <row r="156" spans="1:26" s="94" customFormat="1">
      <c r="A156" s="102" t="s">
        <v>257</v>
      </c>
      <c r="B156" s="103" t="s">
        <v>332</v>
      </c>
      <c r="C156" s="21" t="s">
        <v>13</v>
      </c>
      <c r="D156" s="137">
        <v>20</v>
      </c>
      <c r="E156" s="126"/>
      <c r="F156" s="137">
        <f t="shared" ref="F156:F172" si="21">D156*E156</f>
        <v>0</v>
      </c>
    </row>
    <row r="157" spans="1:26" s="94" customFormat="1">
      <c r="A157" s="102" t="s">
        <v>258</v>
      </c>
      <c r="B157" s="103" t="s">
        <v>131</v>
      </c>
      <c r="C157" s="21" t="s">
        <v>13</v>
      </c>
      <c r="D157" s="137">
        <v>30</v>
      </c>
      <c r="E157" s="126"/>
      <c r="F157" s="137">
        <f t="shared" si="21"/>
        <v>0</v>
      </c>
    </row>
    <row r="158" spans="1:26" s="94" customFormat="1">
      <c r="A158" s="102" t="s">
        <v>259</v>
      </c>
      <c r="B158" s="103" t="s">
        <v>132</v>
      </c>
      <c r="C158" s="21" t="s">
        <v>13</v>
      </c>
      <c r="D158" s="137">
        <v>20</v>
      </c>
      <c r="E158" s="126"/>
      <c r="F158" s="137">
        <f t="shared" si="21"/>
        <v>0</v>
      </c>
    </row>
    <row r="159" spans="1:26" s="94" customFormat="1">
      <c r="A159" s="102" t="s">
        <v>260</v>
      </c>
      <c r="B159" s="103" t="s">
        <v>133</v>
      </c>
      <c r="C159" s="21" t="s">
        <v>13</v>
      </c>
      <c r="D159" s="137">
        <v>20</v>
      </c>
      <c r="E159" s="126"/>
      <c r="F159" s="137">
        <f t="shared" si="21"/>
        <v>0</v>
      </c>
    </row>
    <row r="160" spans="1:26" s="94" customFormat="1">
      <c r="A160" s="102" t="s">
        <v>261</v>
      </c>
      <c r="B160" s="103" t="s">
        <v>134</v>
      </c>
      <c r="C160" s="21" t="s">
        <v>13</v>
      </c>
      <c r="D160" s="137">
        <v>35</v>
      </c>
      <c r="E160" s="126"/>
      <c r="F160" s="137">
        <f t="shared" si="21"/>
        <v>0</v>
      </c>
    </row>
    <row r="161" spans="1:26" s="94" customFormat="1">
      <c r="A161" s="102" t="s">
        <v>262</v>
      </c>
      <c r="B161" s="103" t="s">
        <v>135</v>
      </c>
      <c r="C161" s="21" t="s">
        <v>13</v>
      </c>
      <c r="D161" s="137">
        <v>20</v>
      </c>
      <c r="E161" s="126"/>
      <c r="F161" s="137">
        <f t="shared" si="21"/>
        <v>0</v>
      </c>
    </row>
    <row r="162" spans="1:26" s="94" customFormat="1">
      <c r="A162" s="102" t="s">
        <v>263</v>
      </c>
      <c r="B162" s="103" t="s">
        <v>136</v>
      </c>
      <c r="C162" s="21" t="s">
        <v>13</v>
      </c>
      <c r="D162" s="137">
        <v>8</v>
      </c>
      <c r="E162" s="126"/>
      <c r="F162" s="137">
        <f t="shared" si="21"/>
        <v>0</v>
      </c>
    </row>
    <row r="163" spans="1:26" s="94" customFormat="1">
      <c r="A163" s="102" t="s">
        <v>264</v>
      </c>
      <c r="B163" s="103" t="s">
        <v>137</v>
      </c>
      <c r="C163" s="21" t="s">
        <v>13</v>
      </c>
      <c r="D163" s="137">
        <v>16</v>
      </c>
      <c r="E163" s="126"/>
      <c r="F163" s="137">
        <f t="shared" si="21"/>
        <v>0</v>
      </c>
    </row>
    <row r="164" spans="1:26" s="94" customFormat="1">
      <c r="A164" s="102" t="s">
        <v>265</v>
      </c>
      <c r="B164" s="103" t="s">
        <v>138</v>
      </c>
      <c r="C164" s="21" t="s">
        <v>13</v>
      </c>
      <c r="D164" s="137">
        <v>4</v>
      </c>
      <c r="E164" s="126"/>
      <c r="F164" s="137">
        <f t="shared" si="21"/>
        <v>0</v>
      </c>
    </row>
    <row r="165" spans="1:26" s="94" customFormat="1">
      <c r="A165" s="102" t="s">
        <v>266</v>
      </c>
      <c r="B165" s="103" t="s">
        <v>139</v>
      </c>
      <c r="C165" s="21" t="s">
        <v>13</v>
      </c>
      <c r="D165" s="137">
        <v>4</v>
      </c>
      <c r="E165" s="126"/>
      <c r="F165" s="137">
        <f t="shared" si="21"/>
        <v>0</v>
      </c>
    </row>
    <row r="166" spans="1:26" s="94" customFormat="1">
      <c r="A166" s="102" t="s">
        <v>267</v>
      </c>
      <c r="B166" s="103" t="s">
        <v>140</v>
      </c>
      <c r="C166" s="21" t="s">
        <v>13</v>
      </c>
      <c r="D166" s="137">
        <v>1</v>
      </c>
      <c r="E166" s="126"/>
      <c r="F166" s="137">
        <f t="shared" si="21"/>
        <v>0</v>
      </c>
    </row>
    <row r="167" spans="1:26" s="94" customFormat="1">
      <c r="A167" s="102" t="s">
        <v>268</v>
      </c>
      <c r="B167" s="103" t="s">
        <v>141</v>
      </c>
      <c r="C167" s="21" t="s">
        <v>13</v>
      </c>
      <c r="D167" s="137">
        <v>4</v>
      </c>
      <c r="E167" s="126"/>
      <c r="F167" s="137">
        <f t="shared" si="21"/>
        <v>0</v>
      </c>
    </row>
    <row r="168" spans="1:26" s="94" customFormat="1">
      <c r="A168" s="102" t="s">
        <v>269</v>
      </c>
      <c r="B168" s="103" t="s">
        <v>142</v>
      </c>
      <c r="C168" s="21" t="s">
        <v>13</v>
      </c>
      <c r="D168" s="137">
        <v>4</v>
      </c>
      <c r="E168" s="126"/>
      <c r="F168" s="137">
        <f t="shared" si="21"/>
        <v>0</v>
      </c>
    </row>
    <row r="169" spans="1:26" s="94" customFormat="1">
      <c r="A169" s="102" t="s">
        <v>270</v>
      </c>
      <c r="B169" s="103" t="s">
        <v>143</v>
      </c>
      <c r="C169" s="21" t="s">
        <v>13</v>
      </c>
      <c r="D169" s="137">
        <v>4</v>
      </c>
      <c r="E169" s="126"/>
      <c r="F169" s="137">
        <f t="shared" si="21"/>
        <v>0</v>
      </c>
    </row>
    <row r="170" spans="1:26" s="94" customFormat="1">
      <c r="A170" s="102" t="s">
        <v>271</v>
      </c>
      <c r="B170" s="103" t="s">
        <v>145</v>
      </c>
      <c r="C170" s="21" t="s">
        <v>13</v>
      </c>
      <c r="D170" s="137">
        <v>4</v>
      </c>
      <c r="E170" s="126"/>
      <c r="F170" s="137">
        <f t="shared" si="21"/>
        <v>0</v>
      </c>
    </row>
    <row r="171" spans="1:26" s="94" customFormat="1">
      <c r="A171" s="102" t="s">
        <v>272</v>
      </c>
      <c r="B171" s="103" t="s">
        <v>115</v>
      </c>
      <c r="C171" s="21" t="s">
        <v>13</v>
      </c>
      <c r="D171" s="137">
        <v>8</v>
      </c>
      <c r="E171" s="126"/>
      <c r="F171" s="137">
        <f t="shared" si="21"/>
        <v>0</v>
      </c>
    </row>
    <row r="172" spans="1:26" s="94" customFormat="1" ht="15" thickBot="1">
      <c r="A172" s="102" t="s">
        <v>273</v>
      </c>
      <c r="B172" s="103" t="s">
        <v>147</v>
      </c>
      <c r="C172" s="21" t="s">
        <v>13</v>
      </c>
      <c r="D172" s="137">
        <v>10</v>
      </c>
      <c r="E172" s="126"/>
      <c r="F172" s="137">
        <f t="shared" si="21"/>
        <v>0</v>
      </c>
    </row>
    <row r="173" spans="1:26" s="81" customFormat="1" ht="15.75" customHeight="1" thickBot="1">
      <c r="A173" s="101" t="s">
        <v>58</v>
      </c>
      <c r="B173" s="88" t="s">
        <v>114</v>
      </c>
      <c r="C173" s="89"/>
      <c r="D173" s="127"/>
      <c r="E173" s="127"/>
      <c r="F173" s="128">
        <f>SUM(F124:F172)</f>
        <v>0</v>
      </c>
      <c r="G173" s="84"/>
      <c r="H173" s="83"/>
      <c r="I173" s="83"/>
      <c r="J173" s="83"/>
      <c r="K173" s="83"/>
      <c r="L173" s="83"/>
      <c r="M173" s="83"/>
      <c r="N173" s="83"/>
      <c r="O173" s="83"/>
      <c r="P173" s="83"/>
      <c r="Q173" s="83"/>
      <c r="R173" s="83"/>
      <c r="S173" s="83"/>
      <c r="T173" s="83"/>
      <c r="U173" s="83"/>
      <c r="V173" s="83"/>
      <c r="W173" s="83"/>
      <c r="X173" s="83"/>
      <c r="Y173" s="83"/>
      <c r="Z173" s="83"/>
    </row>
    <row r="174" spans="1:26" customFormat="1" ht="15.6">
      <c r="A174" s="26" t="s">
        <v>326</v>
      </c>
      <c r="B174" s="87" t="s">
        <v>109</v>
      </c>
      <c r="C174" s="72"/>
      <c r="D174" s="72"/>
      <c r="E174" s="73"/>
      <c r="F174" s="74"/>
      <c r="G174" s="28"/>
      <c r="H174" s="27"/>
      <c r="I174" s="27"/>
      <c r="J174" s="27"/>
      <c r="K174" s="27"/>
      <c r="L174" s="27"/>
      <c r="M174" s="75"/>
    </row>
    <row r="175" spans="1:26" customFormat="1" ht="76.95" customHeight="1">
      <c r="A175" s="102"/>
      <c r="B175" s="103" t="s">
        <v>333</v>
      </c>
      <c r="C175" s="76"/>
      <c r="D175" s="77"/>
      <c r="E175" s="78"/>
      <c r="F175" s="77"/>
      <c r="G175" s="85"/>
      <c r="H175" s="85"/>
      <c r="I175" s="85"/>
      <c r="J175" s="86"/>
      <c r="K175" s="85"/>
      <c r="L175" s="86"/>
      <c r="M175" s="85"/>
      <c r="N175" s="85"/>
      <c r="O175" s="85"/>
      <c r="P175" s="85"/>
      <c r="Q175" s="85"/>
      <c r="R175" s="85"/>
      <c r="S175" s="85"/>
      <c r="T175" s="85"/>
      <c r="U175" s="85"/>
      <c r="V175" s="85"/>
      <c r="W175" s="85"/>
      <c r="X175" s="85"/>
      <c r="Y175" s="85"/>
      <c r="Z175" s="85"/>
    </row>
    <row r="176" spans="1:26" customFormat="1" ht="15.75" customHeight="1">
      <c r="A176" s="145">
        <v>7.1</v>
      </c>
      <c r="B176" s="144" t="s">
        <v>116</v>
      </c>
      <c r="C176" s="76"/>
      <c r="D176" s="77"/>
      <c r="E176" s="78"/>
      <c r="F176" s="77"/>
      <c r="G176" s="85"/>
      <c r="H176" s="85"/>
      <c r="I176" s="85"/>
      <c r="J176" s="86"/>
      <c r="K176" s="85"/>
      <c r="L176" s="86"/>
      <c r="M176" s="85"/>
      <c r="N176" s="85"/>
      <c r="O176" s="85"/>
      <c r="P176" s="85"/>
      <c r="Q176" s="85"/>
      <c r="R176" s="85"/>
      <c r="S176" s="85"/>
      <c r="T176" s="85"/>
      <c r="U176" s="85"/>
      <c r="V176" s="85"/>
      <c r="W176" s="85"/>
      <c r="X176" s="85"/>
      <c r="Y176" s="85"/>
      <c r="Z176" s="85"/>
    </row>
    <row r="177" spans="1:26" customFormat="1" ht="49.95" customHeight="1">
      <c r="A177" s="102" t="s">
        <v>327</v>
      </c>
      <c r="B177" s="103" t="s">
        <v>149</v>
      </c>
      <c r="C177" s="66" t="s">
        <v>108</v>
      </c>
      <c r="D177" s="77">
        <v>1</v>
      </c>
      <c r="E177" s="78"/>
      <c r="F177" s="77">
        <f t="shared" ref="F177:F180" si="22">E177*D177</f>
        <v>0</v>
      </c>
      <c r="G177" s="28"/>
      <c r="H177" s="27"/>
      <c r="I177" s="27"/>
      <c r="J177" s="27"/>
      <c r="K177" s="27"/>
      <c r="L177" s="27"/>
      <c r="M177" s="75"/>
    </row>
    <row r="178" spans="1:26" s="81" customFormat="1" ht="49.95" customHeight="1">
      <c r="A178" s="102" t="s">
        <v>328</v>
      </c>
      <c r="B178" s="103" t="s">
        <v>111</v>
      </c>
      <c r="C178" s="76" t="s">
        <v>110</v>
      </c>
      <c r="D178" s="77">
        <v>2</v>
      </c>
      <c r="E178" s="78"/>
      <c r="F178" s="77">
        <f t="shared" si="22"/>
        <v>0</v>
      </c>
      <c r="G178" s="79"/>
      <c r="H178" s="79"/>
      <c r="I178" s="79"/>
      <c r="J178" s="80"/>
      <c r="K178" s="79"/>
      <c r="L178" s="80"/>
      <c r="M178" s="79"/>
      <c r="N178" s="79"/>
      <c r="O178" s="79"/>
      <c r="P178" s="79"/>
      <c r="Q178" s="79"/>
      <c r="R178" s="79"/>
      <c r="S178" s="79"/>
      <c r="T178" s="79"/>
      <c r="U178" s="79"/>
      <c r="V178" s="79"/>
      <c r="W178" s="79"/>
      <c r="X178" s="79"/>
      <c r="Y178" s="79"/>
      <c r="Z178" s="79"/>
    </row>
    <row r="179" spans="1:26" customFormat="1" ht="91.05" customHeight="1">
      <c r="A179" s="102" t="s">
        <v>329</v>
      </c>
      <c r="B179" s="103" t="s">
        <v>274</v>
      </c>
      <c r="C179" s="76" t="s">
        <v>110</v>
      </c>
      <c r="D179" s="77">
        <v>3</v>
      </c>
      <c r="E179" s="78"/>
      <c r="F179" s="77">
        <f t="shared" si="22"/>
        <v>0</v>
      </c>
      <c r="G179" s="85"/>
      <c r="H179" s="85"/>
      <c r="I179" s="85"/>
      <c r="J179" s="86"/>
      <c r="K179" s="85"/>
      <c r="L179" s="86"/>
      <c r="M179" s="85"/>
      <c r="N179" s="85"/>
      <c r="O179" s="85"/>
      <c r="P179" s="85"/>
      <c r="Q179" s="85"/>
      <c r="R179" s="85"/>
      <c r="S179" s="85"/>
      <c r="T179" s="85"/>
      <c r="U179" s="85"/>
      <c r="V179" s="85"/>
      <c r="W179" s="85"/>
      <c r="X179" s="85"/>
      <c r="Y179" s="85"/>
      <c r="Z179" s="85"/>
    </row>
    <row r="180" spans="1:26" s="81" customFormat="1" ht="51" customHeight="1" thickBot="1">
      <c r="A180" s="102" t="s">
        <v>330</v>
      </c>
      <c r="B180" s="103" t="s">
        <v>338</v>
      </c>
      <c r="C180" s="76" t="s">
        <v>110</v>
      </c>
      <c r="D180" s="77">
        <v>2</v>
      </c>
      <c r="E180" s="78"/>
      <c r="F180" s="77">
        <f t="shared" si="22"/>
        <v>0</v>
      </c>
      <c r="G180" s="79"/>
      <c r="H180" s="79"/>
      <c r="I180" s="79"/>
      <c r="J180" s="80"/>
      <c r="K180" s="79"/>
      <c r="L180" s="80"/>
      <c r="M180" s="79"/>
      <c r="N180" s="79"/>
      <c r="O180" s="79"/>
      <c r="P180" s="79"/>
      <c r="Q180" s="79"/>
      <c r="R180" s="79"/>
      <c r="S180" s="79"/>
      <c r="T180" s="79"/>
      <c r="U180" s="79"/>
      <c r="V180" s="79"/>
      <c r="W180" s="79"/>
      <c r="X180" s="79"/>
      <c r="Y180" s="79"/>
      <c r="Z180" s="79"/>
    </row>
    <row r="181" spans="1:26" s="27" customFormat="1" ht="15" thickBot="1">
      <c r="A181" s="101" t="s">
        <v>326</v>
      </c>
      <c r="B181" s="88" t="s">
        <v>118</v>
      </c>
      <c r="C181" s="89"/>
      <c r="D181" s="127"/>
      <c r="E181" s="127"/>
      <c r="F181" s="128">
        <f>SUM(F174:F180)</f>
        <v>0</v>
      </c>
      <c r="G181" s="63"/>
      <c r="I181" s="29"/>
      <c r="J181" s="29"/>
      <c r="K181" s="29"/>
      <c r="L181" s="29"/>
    </row>
    <row r="182" spans="1:26" s="27" customFormat="1" ht="15.6">
      <c r="A182" s="26" t="s">
        <v>59</v>
      </c>
      <c r="B182" s="64" t="s">
        <v>106</v>
      </c>
      <c r="C182" s="65"/>
      <c r="D182" s="67"/>
      <c r="E182" s="68"/>
      <c r="F182" s="70"/>
      <c r="G182" s="28"/>
    </row>
    <row r="183" spans="1:26" ht="64.05" customHeight="1">
      <c r="A183" s="98"/>
      <c r="B183" s="93" t="s">
        <v>387</v>
      </c>
      <c r="C183" s="66"/>
      <c r="D183" s="71"/>
      <c r="E183" s="69"/>
      <c r="F183" s="69"/>
    </row>
    <row r="184" spans="1:26">
      <c r="A184" s="98">
        <v>8.1</v>
      </c>
      <c r="B184" s="93" t="s">
        <v>339</v>
      </c>
      <c r="C184" s="66"/>
      <c r="D184" s="71"/>
      <c r="E184" s="69"/>
      <c r="F184" s="69"/>
    </row>
    <row r="185" spans="1:26">
      <c r="A185" s="121" t="s">
        <v>60</v>
      </c>
      <c r="B185" s="93" t="s">
        <v>131</v>
      </c>
      <c r="C185" s="66" t="s">
        <v>110</v>
      </c>
      <c r="D185" s="71">
        <v>2</v>
      </c>
      <c r="E185" s="69"/>
      <c r="F185" s="69">
        <f t="shared" ref="F185:F190" si="23">D185*E185</f>
        <v>0</v>
      </c>
    </row>
    <row r="186" spans="1:26">
      <c r="A186" s="121" t="s">
        <v>347</v>
      </c>
      <c r="B186" s="93" t="s">
        <v>332</v>
      </c>
      <c r="C186" s="66" t="s">
        <v>110</v>
      </c>
      <c r="D186" s="71">
        <v>2</v>
      </c>
      <c r="E186" s="69"/>
      <c r="F186" s="69">
        <f t="shared" si="23"/>
        <v>0</v>
      </c>
    </row>
    <row r="187" spans="1:26">
      <c r="A187" s="121" t="s">
        <v>348</v>
      </c>
      <c r="B187" s="93" t="s">
        <v>132</v>
      </c>
      <c r="C187" s="66" t="s">
        <v>110</v>
      </c>
      <c r="D187" s="71">
        <v>2</v>
      </c>
      <c r="E187" s="69"/>
      <c r="F187" s="69">
        <f t="shared" si="23"/>
        <v>0</v>
      </c>
    </row>
    <row r="188" spans="1:26">
      <c r="A188" s="121" t="s">
        <v>349</v>
      </c>
      <c r="B188" s="93" t="s">
        <v>133</v>
      </c>
      <c r="C188" s="66" t="s">
        <v>110</v>
      </c>
      <c r="D188" s="71">
        <v>4</v>
      </c>
      <c r="E188" s="69"/>
      <c r="F188" s="69">
        <f t="shared" si="23"/>
        <v>0</v>
      </c>
    </row>
    <row r="189" spans="1:26">
      <c r="A189" s="121" t="s">
        <v>350</v>
      </c>
      <c r="B189" s="93" t="s">
        <v>134</v>
      </c>
      <c r="C189" s="66" t="s">
        <v>110</v>
      </c>
      <c r="D189" s="71">
        <v>7</v>
      </c>
      <c r="E189" s="69"/>
      <c r="F189" s="69">
        <f t="shared" si="23"/>
        <v>0</v>
      </c>
    </row>
    <row r="190" spans="1:26">
      <c r="A190" s="121" t="s">
        <v>351</v>
      </c>
      <c r="B190" s="93" t="s">
        <v>135</v>
      </c>
      <c r="C190" s="66" t="s">
        <v>110</v>
      </c>
      <c r="D190" s="71">
        <v>4</v>
      </c>
      <c r="E190" s="69"/>
      <c r="F190" s="69">
        <f t="shared" si="23"/>
        <v>0</v>
      </c>
    </row>
    <row r="191" spans="1:26">
      <c r="A191" s="98">
        <v>8.1999999999999993</v>
      </c>
      <c r="B191" s="93" t="s">
        <v>352</v>
      </c>
      <c r="C191" s="66"/>
      <c r="D191" s="71"/>
      <c r="E191" s="69"/>
      <c r="F191" s="69"/>
    </row>
    <row r="192" spans="1:26">
      <c r="A192" s="121" t="s">
        <v>380</v>
      </c>
      <c r="B192" s="93" t="s">
        <v>131</v>
      </c>
      <c r="C192" s="66" t="s">
        <v>110</v>
      </c>
      <c r="D192" s="71">
        <v>2</v>
      </c>
      <c r="E192" s="69"/>
      <c r="F192" s="69">
        <f t="shared" ref="F192:F197" si="24">D192*E192</f>
        <v>0</v>
      </c>
    </row>
    <row r="193" spans="1:6">
      <c r="A193" s="121" t="s">
        <v>381</v>
      </c>
      <c r="B193" s="93" t="s">
        <v>332</v>
      </c>
      <c r="C193" s="66" t="s">
        <v>110</v>
      </c>
      <c r="D193" s="71">
        <v>2</v>
      </c>
      <c r="E193" s="69"/>
      <c r="F193" s="69">
        <f t="shared" si="24"/>
        <v>0</v>
      </c>
    </row>
    <row r="194" spans="1:6">
      <c r="A194" s="121" t="s">
        <v>382</v>
      </c>
      <c r="B194" s="93" t="s">
        <v>132</v>
      </c>
      <c r="C194" s="66" t="s">
        <v>110</v>
      </c>
      <c r="D194" s="71">
        <v>2</v>
      </c>
      <c r="E194" s="69"/>
      <c r="F194" s="69">
        <f t="shared" si="24"/>
        <v>0</v>
      </c>
    </row>
    <row r="195" spans="1:6">
      <c r="A195" s="121" t="s">
        <v>383</v>
      </c>
      <c r="B195" s="93" t="s">
        <v>133</v>
      </c>
      <c r="C195" s="66" t="s">
        <v>110</v>
      </c>
      <c r="D195" s="71">
        <v>4</v>
      </c>
      <c r="E195" s="69"/>
      <c r="F195" s="69">
        <f t="shared" si="24"/>
        <v>0</v>
      </c>
    </row>
    <row r="196" spans="1:6">
      <c r="A196" s="121" t="s">
        <v>384</v>
      </c>
      <c r="B196" s="93" t="s">
        <v>134</v>
      </c>
      <c r="C196" s="66" t="s">
        <v>110</v>
      </c>
      <c r="D196" s="71">
        <v>7</v>
      </c>
      <c r="E196" s="69"/>
      <c r="F196" s="69">
        <f t="shared" si="24"/>
        <v>0</v>
      </c>
    </row>
    <row r="197" spans="1:6">
      <c r="A197" s="121" t="s">
        <v>385</v>
      </c>
      <c r="B197" s="93" t="s">
        <v>135</v>
      </c>
      <c r="C197" s="66" t="s">
        <v>110</v>
      </c>
      <c r="D197" s="71">
        <v>4</v>
      </c>
      <c r="E197" s="69"/>
      <c r="F197" s="69">
        <f t="shared" si="24"/>
        <v>0</v>
      </c>
    </row>
    <row r="198" spans="1:6">
      <c r="A198" s="98">
        <v>8.3000000000000007</v>
      </c>
      <c r="B198" s="93" t="s">
        <v>353</v>
      </c>
      <c r="C198" s="66"/>
      <c r="D198" s="71"/>
      <c r="E198" s="69"/>
      <c r="F198" s="69"/>
    </row>
    <row r="199" spans="1:6">
      <c r="A199" s="121" t="s">
        <v>373</v>
      </c>
      <c r="B199" s="93" t="s">
        <v>331</v>
      </c>
      <c r="C199" s="66" t="s">
        <v>110</v>
      </c>
      <c r="D199" s="71">
        <v>8</v>
      </c>
      <c r="E199" s="69"/>
      <c r="F199" s="69">
        <f t="shared" ref="F199:F201" si="25">D199*E199</f>
        <v>0</v>
      </c>
    </row>
    <row r="200" spans="1:6">
      <c r="A200" s="121" t="s">
        <v>374</v>
      </c>
      <c r="B200" s="93" t="s">
        <v>131</v>
      </c>
      <c r="C200" s="66" t="s">
        <v>110</v>
      </c>
      <c r="D200" s="71">
        <v>6</v>
      </c>
      <c r="E200" s="69"/>
      <c r="F200" s="69">
        <f t="shared" si="25"/>
        <v>0</v>
      </c>
    </row>
    <row r="201" spans="1:6">
      <c r="A201" s="121" t="s">
        <v>375</v>
      </c>
      <c r="B201" s="93" t="s">
        <v>332</v>
      </c>
      <c r="C201" s="66" t="s">
        <v>110</v>
      </c>
      <c r="D201" s="71">
        <v>4</v>
      </c>
      <c r="E201" s="69"/>
      <c r="F201" s="69">
        <f t="shared" si="25"/>
        <v>0</v>
      </c>
    </row>
    <row r="202" spans="1:6">
      <c r="A202" s="121" t="s">
        <v>376</v>
      </c>
      <c r="B202" s="93" t="s">
        <v>132</v>
      </c>
      <c r="C202" s="66" t="s">
        <v>110</v>
      </c>
      <c r="D202" s="71">
        <v>4</v>
      </c>
      <c r="E202" s="69"/>
      <c r="F202" s="69">
        <f t="shared" ref="F202:F203" si="26">D202*E202</f>
        <v>0</v>
      </c>
    </row>
    <row r="203" spans="1:6">
      <c r="A203" s="121" t="s">
        <v>377</v>
      </c>
      <c r="B203" s="93" t="s">
        <v>133</v>
      </c>
      <c r="C203" s="66" t="s">
        <v>110</v>
      </c>
      <c r="D203" s="71">
        <v>4</v>
      </c>
      <c r="E203" s="69"/>
      <c r="F203" s="69">
        <f t="shared" si="26"/>
        <v>0</v>
      </c>
    </row>
    <row r="204" spans="1:6">
      <c r="A204" s="121" t="s">
        <v>378</v>
      </c>
      <c r="B204" s="93" t="s">
        <v>134</v>
      </c>
      <c r="C204" s="66" t="s">
        <v>110</v>
      </c>
      <c r="D204" s="71">
        <v>7</v>
      </c>
      <c r="E204" s="69"/>
      <c r="F204" s="69">
        <f t="shared" ref="F204:F210" si="27">D204*E204</f>
        <v>0</v>
      </c>
    </row>
    <row r="205" spans="1:6">
      <c r="A205" s="121" t="s">
        <v>379</v>
      </c>
      <c r="B205" s="93" t="s">
        <v>135</v>
      </c>
      <c r="C205" s="66" t="s">
        <v>110</v>
      </c>
      <c r="D205" s="71">
        <v>4</v>
      </c>
      <c r="E205" s="69"/>
      <c r="F205" s="69">
        <f t="shared" si="27"/>
        <v>0</v>
      </c>
    </row>
    <row r="206" spans="1:6">
      <c r="A206" s="98">
        <v>8.4</v>
      </c>
      <c r="B206" s="93" t="s">
        <v>340</v>
      </c>
      <c r="C206" s="139" t="s">
        <v>341</v>
      </c>
      <c r="D206" s="71">
        <v>120</v>
      </c>
      <c r="E206" s="69"/>
      <c r="F206" s="69">
        <f t="shared" si="27"/>
        <v>0</v>
      </c>
    </row>
    <row r="207" spans="1:6">
      <c r="A207" s="98">
        <v>8.5</v>
      </c>
      <c r="B207" s="93" t="s">
        <v>342</v>
      </c>
      <c r="C207" s="139" t="s">
        <v>341</v>
      </c>
      <c r="D207" s="71">
        <f>(21+21+37)*2</f>
        <v>158</v>
      </c>
      <c r="E207" s="69"/>
      <c r="F207" s="69">
        <f t="shared" si="27"/>
        <v>0</v>
      </c>
    </row>
    <row r="208" spans="1:6">
      <c r="A208" s="98">
        <v>8.6</v>
      </c>
      <c r="B208" s="93" t="s">
        <v>343</v>
      </c>
      <c r="C208" s="139" t="s">
        <v>110</v>
      </c>
      <c r="D208" s="71">
        <v>200</v>
      </c>
      <c r="E208" s="69"/>
      <c r="F208" s="69">
        <f t="shared" si="27"/>
        <v>0</v>
      </c>
    </row>
    <row r="209" spans="1:6">
      <c r="A209" s="98">
        <v>8.6999999999999993</v>
      </c>
      <c r="B209" s="93" t="s">
        <v>344</v>
      </c>
      <c r="C209" s="139" t="s">
        <v>110</v>
      </c>
      <c r="D209" s="71">
        <v>150</v>
      </c>
      <c r="E209" s="69"/>
      <c r="F209" s="69">
        <f t="shared" si="27"/>
        <v>0</v>
      </c>
    </row>
    <row r="210" spans="1:6">
      <c r="A210" s="98">
        <v>8.8000000000000007</v>
      </c>
      <c r="B210" s="93" t="s">
        <v>345</v>
      </c>
      <c r="C210" s="76" t="s">
        <v>110</v>
      </c>
      <c r="D210" s="71">
        <v>4</v>
      </c>
      <c r="E210" s="69"/>
      <c r="F210" s="69">
        <f t="shared" si="27"/>
        <v>0</v>
      </c>
    </row>
    <row r="211" spans="1:6" ht="15" thickBot="1">
      <c r="A211" s="98">
        <v>8.9</v>
      </c>
      <c r="B211" s="93" t="s">
        <v>346</v>
      </c>
      <c r="C211" s="76" t="s">
        <v>107</v>
      </c>
      <c r="D211" s="71">
        <v>1</v>
      </c>
      <c r="E211" s="69"/>
      <c r="F211" s="69">
        <f>D211*E211</f>
        <v>0</v>
      </c>
    </row>
    <row r="212" spans="1:6" ht="15" thickBot="1">
      <c r="A212" s="101" t="s">
        <v>59</v>
      </c>
      <c r="B212" s="88" t="s">
        <v>119</v>
      </c>
      <c r="C212" s="89"/>
      <c r="D212" s="127"/>
      <c r="E212" s="127"/>
      <c r="F212" s="128">
        <f>SUM(F182:F211)</f>
        <v>0</v>
      </c>
    </row>
  </sheetData>
  <mergeCells count="1">
    <mergeCell ref="A1:F1"/>
  </mergeCells>
  <phoneticPr fontId="13" type="noConversion"/>
  <pageMargins left="0.7" right="0.7" top="0.75" bottom="0.75" header="0.3" footer="0.3"/>
  <pageSetup scale="73" fitToHeight="0" orientation="portrait" r:id="rId1"/>
  <headerFooter>
    <oddHeader>&amp;F</oddHeader>
    <oddFooter>&amp;CPage &amp;P / &amp;N</oddFooter>
  </headerFooter>
  <rowBreaks count="3" manualBreakCount="3">
    <brk id="44" max="5" man="1"/>
    <brk id="107" max="5" man="1"/>
    <brk id="16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view="pageBreakPreview" zoomScaleNormal="80" zoomScaleSheetLayoutView="100" workbookViewId="0">
      <selection activeCell="E19" sqref="E19"/>
    </sheetView>
  </sheetViews>
  <sheetFormatPr defaultColWidth="9.109375" defaultRowHeight="14.4"/>
  <cols>
    <col min="1" max="1" width="11.6640625" style="99" customWidth="1"/>
    <col min="2" max="2" width="68.33203125" style="9" customWidth="1"/>
    <col min="3" max="3" width="7.33203125" style="24" customWidth="1"/>
    <col min="4" max="4" width="10.44140625" style="138" bestFit="1" customWidth="1"/>
    <col min="5" max="5" width="12.33203125" style="138" customWidth="1"/>
    <col min="6" max="6" width="13.6640625" style="138" bestFit="1" customWidth="1"/>
    <col min="7" max="7" width="11.33203125" style="9" bestFit="1" customWidth="1"/>
    <col min="8" max="8" width="12.44140625" style="9" bestFit="1" customWidth="1"/>
    <col min="9" max="9" width="9.109375" style="9"/>
    <col min="10" max="10" width="12.44140625" style="9" bestFit="1" customWidth="1"/>
    <col min="11" max="11" width="9.109375" style="9"/>
    <col min="12" max="12" width="11.6640625" style="9" bestFit="1" customWidth="1"/>
    <col min="13" max="13" width="11.33203125" style="9" bestFit="1" customWidth="1"/>
    <col min="14" max="16384" width="9.109375" style="9"/>
  </cols>
  <sheetData>
    <row r="1" spans="1:7" s="23" customFormat="1" ht="15" thickBot="1">
      <c r="A1" s="179" t="s">
        <v>336</v>
      </c>
      <c r="B1" s="179"/>
      <c r="C1" s="179"/>
      <c r="D1" s="179"/>
      <c r="E1" s="179"/>
      <c r="F1" s="179"/>
      <c r="G1" s="22"/>
    </row>
    <row r="2" spans="1:7" ht="15" thickBot="1">
      <c r="A2" s="95" t="s">
        <v>0</v>
      </c>
      <c r="B2" s="12" t="s">
        <v>1</v>
      </c>
      <c r="C2" s="19" t="s">
        <v>2</v>
      </c>
      <c r="D2" s="20" t="s">
        <v>3</v>
      </c>
      <c r="E2" s="20" t="s">
        <v>4</v>
      </c>
      <c r="F2" s="20" t="s">
        <v>3</v>
      </c>
    </row>
    <row r="3" spans="1:7" s="27" customFormat="1" ht="15.6">
      <c r="A3" s="26" t="s">
        <v>49</v>
      </c>
      <c r="B3" s="64" t="s">
        <v>106</v>
      </c>
      <c r="C3" s="65"/>
      <c r="D3" s="67"/>
      <c r="E3" s="68"/>
      <c r="F3" s="70"/>
      <c r="G3" s="28"/>
    </row>
    <row r="4" spans="1:7">
      <c r="A4" s="98">
        <v>1.1000000000000001</v>
      </c>
      <c r="B4" s="93" t="s">
        <v>354</v>
      </c>
      <c r="C4" s="76"/>
      <c r="D4" s="71"/>
      <c r="E4" s="69"/>
      <c r="F4" s="69"/>
    </row>
    <row r="5" spans="1:7">
      <c r="A5" s="121" t="s">
        <v>55</v>
      </c>
      <c r="B5" s="93" t="s">
        <v>131</v>
      </c>
      <c r="C5" s="66" t="s">
        <v>110</v>
      </c>
      <c r="D5" s="71">
        <v>2</v>
      </c>
      <c r="E5" s="69"/>
      <c r="F5" s="69">
        <f t="shared" ref="F5:F10" si="0">D5*E5</f>
        <v>0</v>
      </c>
    </row>
    <row r="6" spans="1:7">
      <c r="A6" s="121" t="s">
        <v>368</v>
      </c>
      <c r="B6" s="93" t="s">
        <v>332</v>
      </c>
      <c r="C6" s="66" t="s">
        <v>110</v>
      </c>
      <c r="D6" s="71">
        <v>2</v>
      </c>
      <c r="E6" s="69"/>
      <c r="F6" s="69">
        <f t="shared" si="0"/>
        <v>0</v>
      </c>
    </row>
    <row r="7" spans="1:7">
      <c r="A7" s="121" t="s">
        <v>369</v>
      </c>
      <c r="B7" s="93" t="s">
        <v>132</v>
      </c>
      <c r="C7" s="66" t="s">
        <v>110</v>
      </c>
      <c r="D7" s="71">
        <v>2</v>
      </c>
      <c r="E7" s="69"/>
      <c r="F7" s="69">
        <f t="shared" si="0"/>
        <v>0</v>
      </c>
    </row>
    <row r="8" spans="1:7">
      <c r="A8" s="121" t="s">
        <v>370</v>
      </c>
      <c r="B8" s="93" t="s">
        <v>133</v>
      </c>
      <c r="C8" s="66" t="s">
        <v>110</v>
      </c>
      <c r="D8" s="71">
        <v>4</v>
      </c>
      <c r="E8" s="69"/>
      <c r="F8" s="69">
        <f t="shared" si="0"/>
        <v>0</v>
      </c>
    </row>
    <row r="9" spans="1:7">
      <c r="A9" s="121" t="s">
        <v>371</v>
      </c>
      <c r="B9" s="93" t="s">
        <v>134</v>
      </c>
      <c r="C9" s="66" t="s">
        <v>110</v>
      </c>
      <c r="D9" s="71">
        <v>7</v>
      </c>
      <c r="E9" s="69"/>
      <c r="F9" s="69">
        <f t="shared" si="0"/>
        <v>0</v>
      </c>
    </row>
    <row r="10" spans="1:7" ht="15" thickBot="1">
      <c r="A10" s="121" t="s">
        <v>372</v>
      </c>
      <c r="B10" s="93" t="s">
        <v>135</v>
      </c>
      <c r="C10" s="66" t="s">
        <v>110</v>
      </c>
      <c r="D10" s="71">
        <v>4</v>
      </c>
      <c r="E10" s="69"/>
      <c r="F10" s="69">
        <f t="shared" si="0"/>
        <v>0</v>
      </c>
    </row>
    <row r="11" spans="1:7" ht="15" thickBot="1">
      <c r="A11" s="101" t="s">
        <v>59</v>
      </c>
      <c r="B11" s="88" t="s">
        <v>119</v>
      </c>
      <c r="C11" s="89"/>
      <c r="D11" s="127"/>
      <c r="E11" s="127"/>
      <c r="F11" s="128">
        <f>SUM(F3:F10)</f>
        <v>0</v>
      </c>
    </row>
  </sheetData>
  <mergeCells count="1">
    <mergeCell ref="A1:F1"/>
  </mergeCells>
  <phoneticPr fontId="13" type="noConversion"/>
  <pageMargins left="0.7" right="0.7" top="0.75" bottom="0.75" header="0.3" footer="0.3"/>
  <pageSetup scale="73" fitToHeight="0" orientation="portrait" r:id="rId1"/>
  <headerFooter>
    <oddHeader>&amp;F</oddHeader>
    <oddFooter>&amp;CPage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63"/>
  <sheetViews>
    <sheetView workbookViewId="0">
      <pane ySplit="1" topLeftCell="A2" activePane="bottomLeft" state="frozen"/>
      <selection pane="bottomLeft" activeCell="E2" sqref="E2"/>
    </sheetView>
  </sheetViews>
  <sheetFormatPr defaultColWidth="8.6640625" defaultRowHeight="14.4"/>
  <sheetData>
    <row r="1" spans="1:8">
      <c r="B1">
        <v>8</v>
      </c>
      <c r="C1">
        <v>10</v>
      </c>
      <c r="D1">
        <v>12</v>
      </c>
      <c r="E1">
        <v>14</v>
      </c>
      <c r="F1">
        <v>16</v>
      </c>
      <c r="G1">
        <v>20</v>
      </c>
      <c r="H1">
        <v>24</v>
      </c>
    </row>
    <row r="2" spans="1:8">
      <c r="A2" t="s">
        <v>18</v>
      </c>
      <c r="B2">
        <f>1.5*(5.058/0.13+1+5.04/0.13+1+4.7/0.13+1+6.04/0.13+1)</f>
        <v>246.43846153846152</v>
      </c>
      <c r="E2">
        <f>2*9+2*5.8+2*9+2.4+3.6+3.5+3.6+2.5+2*11.3+2*11.2+4.2+3.8+3.6+4.3</f>
        <v>124.10000000000001</v>
      </c>
    </row>
    <row r="3" spans="1:8">
      <c r="A3" t="s">
        <v>19</v>
      </c>
      <c r="B3">
        <f>1.5*(1194/130+1+3657/130+1+5190/130+1)</f>
        <v>120.3576923076923</v>
      </c>
      <c r="E3">
        <f>2*4.9+2*9+3.8+3.6+2.5+2*7+2*6.2+3.6+4.4</f>
        <v>72.100000000000009</v>
      </c>
    </row>
    <row r="4" spans="1:8">
      <c r="B4">
        <f>1.5*(4.45+6.3+5.6+5+2.8)/0.13</f>
        <v>278.65384615384613</v>
      </c>
      <c r="E4">
        <f>2*(8.4+5.55+11.5+2.2+11.2+6.2+8.4)+3.6+4+3.6+5.08+4.5+4+3.5</f>
        <v>135.17999999999998</v>
      </c>
    </row>
    <row r="5" spans="1:8">
      <c r="A5" t="s">
        <v>20</v>
      </c>
      <c r="B5">
        <f>1.5*(5.4/0.13+1)</f>
        <v>63.807692307692307</v>
      </c>
      <c r="E5">
        <f>2*(7.4+6.7)</f>
        <v>28.200000000000003</v>
      </c>
    </row>
    <row r="6" spans="1:8">
      <c r="A6" t="s">
        <v>21</v>
      </c>
      <c r="B6">
        <f>1.5*(5.35+5.8)/0.13</f>
        <v>128.65384615384613</v>
      </c>
      <c r="E6">
        <f>2*9.3+2*3.7+2.7+3.8+2.5+12*2+4.2+4.6</f>
        <v>67.8</v>
      </c>
    </row>
    <row r="7" spans="1:8">
      <c r="A7" t="s">
        <v>22</v>
      </c>
      <c r="B7">
        <f>1.5*(5.3+5.8)/0.13</f>
        <v>128.07692307692307</v>
      </c>
      <c r="E7">
        <f>2*(9.5+3.8+12)+2.7+3.8+2.5+4.2+4.6</f>
        <v>68.400000000000006</v>
      </c>
    </row>
    <row r="8" spans="1:8">
      <c r="A8" t="s">
        <v>23</v>
      </c>
      <c r="B8">
        <f>1.5*(5.3+5.8)/0.13</f>
        <v>128.07692307692307</v>
      </c>
      <c r="E8">
        <f>2*(9.5+3.8+12+12)+2.7+3.8+2.5</f>
        <v>83.6</v>
      </c>
    </row>
    <row r="9" spans="1:8">
      <c r="A9" t="s">
        <v>24</v>
      </c>
      <c r="B9">
        <f>1.5*(6200+5350+5850)/130</f>
        <v>200.76923076923077</v>
      </c>
      <c r="E9">
        <f>2*(4+12+4+2.8+6.8+6+6.6)+3.9+3.8+2.8</f>
        <v>94.9</v>
      </c>
    </row>
    <row r="10" spans="1:8">
      <c r="A10" t="s">
        <v>25</v>
      </c>
      <c r="B10">
        <f>1.5*(6.2+4.4)/0.13</f>
        <v>122.30769230769232</v>
      </c>
      <c r="E10">
        <f>2*(4.3+8.3+11.3)+3+3.6+1.5</f>
        <v>55.900000000000006</v>
      </c>
    </row>
    <row r="11" spans="1:8">
      <c r="B11">
        <f>1.5*(3.4/0.13)</f>
        <v>39.230769230769226</v>
      </c>
      <c r="E11">
        <f>2*(5.8+5.1)+1.45+2.6</f>
        <v>25.849999999999998</v>
      </c>
    </row>
    <row r="12" spans="1:8">
      <c r="A12" t="s">
        <v>26</v>
      </c>
      <c r="B12">
        <f>1.5*(5+5)/0.13</f>
        <v>115.38461538461539</v>
      </c>
      <c r="E12">
        <f>2*(9.5+4.4+6.2+7)+2.7+3.8+3</f>
        <v>63.7</v>
      </c>
    </row>
    <row r="13" spans="1:8">
      <c r="A13" t="s">
        <v>27</v>
      </c>
      <c r="B13">
        <f>1.5*(5.3+4.5+4.7)/0.13</f>
        <v>167.30769230769229</v>
      </c>
      <c r="F13">
        <f>2*12+7+3.8+6+4.6+4.6+3.8</f>
        <v>53.8</v>
      </c>
      <c r="G13">
        <f>4*4.4+4*4.4+2*3+4*3+5*7+5*7</f>
        <v>123.2</v>
      </c>
    </row>
    <row r="14" spans="1:8">
      <c r="A14" t="s">
        <v>28</v>
      </c>
      <c r="B14">
        <f>1.5*(1.9+6.3+5.6)/0.13</f>
        <v>159.23076923076923</v>
      </c>
      <c r="E14">
        <f>2*(8.5+6)+4.4</f>
        <v>33.4</v>
      </c>
      <c r="F14">
        <f>2*(6.4+8.9)+4.5+4+2.5</f>
        <v>41.6</v>
      </c>
    </row>
    <row r="15" spans="1:8">
      <c r="B15">
        <f>1.5*(5/0.13)</f>
        <v>57.692307692307693</v>
      </c>
      <c r="E15">
        <f>2*6.1+2.3+2.2+5.4*2+4.2</f>
        <v>31.7</v>
      </c>
    </row>
    <row r="16" spans="1:8">
      <c r="B16">
        <f>1.5*(2.8+2.5+5.4)/0.13</f>
        <v>123.46153846153844</v>
      </c>
      <c r="F16">
        <f>2*11.2+4.2</f>
        <v>26.599999999999998</v>
      </c>
      <c r="G16">
        <f>2*12+7.8+2.4</f>
        <v>34.200000000000003</v>
      </c>
    </row>
    <row r="17" spans="1:7">
      <c r="A17" t="s">
        <v>29</v>
      </c>
      <c r="B17">
        <f>1.5*(6.7+6.3+5.5+5)/0.13</f>
        <v>271.15384615384613</v>
      </c>
      <c r="E17">
        <f>2*(7.3+6.6+6+5.4)+5.2+4.5+4+3.85</f>
        <v>68.149999999999991</v>
      </c>
      <c r="F17">
        <f>2*(10.8+6.3+8.6+3)+4.4+4+3.5+2.3</f>
        <v>71.600000000000009</v>
      </c>
    </row>
    <row r="18" spans="1:7">
      <c r="A18" t="s">
        <v>19</v>
      </c>
      <c r="B18">
        <f>1.5*(7+6.3+5.6+5+2.8)/0.13</f>
        <v>308.07692307692304</v>
      </c>
      <c r="F18">
        <f>2*(7.8+5.6+7+8.2)+4.5+4.8+4</f>
        <v>70.5</v>
      </c>
      <c r="G18">
        <f>2*(10.7+6.3+11.4)+3+4.5+4+3+5</f>
        <v>76.3</v>
      </c>
    </row>
    <row r="19" spans="1:7">
      <c r="B19">
        <f>1.5*(1.6+5+5.6)/0.13</f>
        <v>140.76923076923075</v>
      </c>
      <c r="E19">
        <f>2*(7+6)+3.6+4.4</f>
        <v>34</v>
      </c>
      <c r="F19">
        <f>2*(4.7+8.9+3.6+2.5)+3.7</f>
        <v>43.100000000000009</v>
      </c>
    </row>
    <row r="20" spans="1:7">
      <c r="A20" t="s">
        <v>30</v>
      </c>
      <c r="B20">
        <f>1.5*(5.4+5.4+5)/0.13</f>
        <v>182.30769230769232</v>
      </c>
      <c r="F20">
        <f>2*(5.8+5.7+5.3+5.9)+4.2+3.8+3.5+4.5</f>
        <v>61.400000000000006</v>
      </c>
      <c r="G20">
        <f>2*(8.9+5.5+8.8)+2.4+3.8+3.5+3.55</f>
        <v>59.65</v>
      </c>
    </row>
    <row r="21" spans="1:7">
      <c r="A21" t="s">
        <v>21</v>
      </c>
      <c r="B21">
        <f>1.5*(3.8+6.2+5.4+5.9)/0.13</f>
        <v>245.76923076923077</v>
      </c>
      <c r="F21">
        <f>2*(10+5.7+6.5)+4.4+4.4</f>
        <v>53.199999999999996</v>
      </c>
      <c r="G21">
        <f>2*(7.3+12+3.85)+6.3+4+3.8+2.6</f>
        <v>63</v>
      </c>
    </row>
    <row r="22" spans="1:7">
      <c r="A22" t="s">
        <v>22</v>
      </c>
      <c r="B22">
        <f>1.5*(6.2+6.2+5.3+5.3)/0.13</f>
        <v>265.38461538461536</v>
      </c>
      <c r="F22">
        <f>4.4+3.8+4.6</f>
        <v>12.799999999999999</v>
      </c>
      <c r="G22">
        <f>2*(9.7+11.6+3.9)+4*2.6+4.2+3.9+3.8+2.5*4+5*8.42+2*6.5+2*5.6+6.3*2</f>
        <v>161.59999999999997</v>
      </c>
    </row>
    <row r="23" spans="1:7">
      <c r="A23" t="s">
        <v>23</v>
      </c>
      <c r="B23">
        <f>1.5*(7.5+6+5+5.5)/0.13</f>
        <v>276.92307692307691</v>
      </c>
      <c r="F23">
        <f>4.4+3.8+4.4+2*(7.9+6.5+5.7+5.5)</f>
        <v>63.800000000000004</v>
      </c>
      <c r="G23">
        <f>2*(11.2+11.8+4.1+3.7+2*2.8)+4.7+3.8+3.8+2.8</f>
        <v>87.899999999999991</v>
      </c>
    </row>
    <row r="24" spans="1:7">
      <c r="A24" t="s">
        <v>26</v>
      </c>
      <c r="B24">
        <f>1.5*(5.2+5.5+2.5)/0.13</f>
        <v>152.30769230769229</v>
      </c>
      <c r="F24">
        <f>2*(6.1+6.8+3.3)+4.15+4.6</f>
        <v>41.15</v>
      </c>
      <c r="G24">
        <f>2*(10+4.4+4+2.7+2*3.1)+3.8</f>
        <v>58.399999999999991</v>
      </c>
    </row>
    <row r="25" spans="1:7">
      <c r="A25" t="s">
        <v>27</v>
      </c>
      <c r="B25">
        <f>1.5*(2+6+5+5.3+1.4)/0.13</f>
        <v>227.30769230769226</v>
      </c>
      <c r="F25">
        <f>2*(8.7+5.7+7.8)+4.1+3.8+4.4</f>
        <v>56.699999999999996</v>
      </c>
      <c r="G25">
        <f>2*(6.1+11.7+5.2+4.9+3*2)+3.9+3.8</f>
        <v>75.5</v>
      </c>
    </row>
    <row r="26" spans="1:7">
      <c r="A26" t="s">
        <v>25</v>
      </c>
      <c r="B26">
        <f>1.5*(2.4+6+4.2+4)/0.13</f>
        <v>191.53846153846155</v>
      </c>
      <c r="F26">
        <f>2*(9.1+4.9+5.1)+4.4</f>
        <v>42.6</v>
      </c>
      <c r="G26">
        <f>2*(6.5+8.3+5.2+5.8+2.6*2)+3.6</f>
        <v>65.599999999999994</v>
      </c>
    </row>
    <row r="27" spans="1:7">
      <c r="A27" t="s">
        <v>31</v>
      </c>
      <c r="B27">
        <f>1.5*(6+5+5.4)/0.13</f>
        <v>189.2307692307692</v>
      </c>
      <c r="G27">
        <f>2*(9.9+9.5+2*2.8+2*2.8)+3.8+3.8+2*(6.6+5.7+6.5)+4.9+3.8+4.6</f>
        <v>119.7</v>
      </c>
    </row>
    <row r="28" spans="1:7">
      <c r="A28" t="s">
        <v>32</v>
      </c>
      <c r="B28">
        <f>1.5*(4.5+6)/0.13</f>
        <v>121.15384615384615</v>
      </c>
      <c r="F28">
        <f>3.4+4.7</f>
        <v>8.1</v>
      </c>
      <c r="G28">
        <f>2*(8.6+4.7+2.2+3.6+2*3.5)+5*(5.2+7.4)</f>
        <v>115.20000000000002</v>
      </c>
    </row>
    <row r="29" spans="1:7">
      <c r="A29" t="s">
        <v>33</v>
      </c>
      <c r="B29">
        <f>1.5*(3+4+3+3+5.3)/0.13</f>
        <v>211.15384615384616</v>
      </c>
      <c r="F29">
        <f>2.6+2.5+2.4+3.2+2.9+4.6</f>
        <v>18.2</v>
      </c>
      <c r="G29">
        <f>4*(10.1+11.9)+5*(11.4+10)+4*(2+2.7)</f>
        <v>213.8</v>
      </c>
    </row>
    <row r="30" spans="1:7">
      <c r="A30" t="s">
        <v>34</v>
      </c>
      <c r="B30">
        <f>1.5*(3.6+5+3.5)/0.13</f>
        <v>139.61538461538461</v>
      </c>
      <c r="F30">
        <f>2*(4.2+10)+3.4</f>
        <v>31.799999999999997</v>
      </c>
      <c r="G30">
        <f>2*(7.3+7.3+1.9)+3.1+3.1</f>
        <v>39.200000000000003</v>
      </c>
    </row>
    <row r="31" spans="1:7">
      <c r="A31" s="10" t="s">
        <v>35</v>
      </c>
    </row>
    <row r="32" spans="1:7">
      <c r="A32" t="s">
        <v>28</v>
      </c>
      <c r="B32">
        <f>3*1.5*(6.5+6.1+5.5)/0.13</f>
        <v>626.53846153846155</v>
      </c>
      <c r="F32">
        <f>3*(2*(7.2+6.6+6)+5.2+4.5+4.4)</f>
        <v>161.10000000000002</v>
      </c>
      <c r="G32">
        <f>3*(2*(10.7+9.5)+3+4.4+4+4*2.5)</f>
        <v>185.39999999999998</v>
      </c>
    </row>
    <row r="33" spans="1:7">
      <c r="B33">
        <f>3*1.5*(4.2+2.5+2.3+5.2)/0.13</f>
        <v>491.53846153846149</v>
      </c>
      <c r="F33">
        <f>3*(2*(5.4+11.2)+4.2+4.2)</f>
        <v>124.80000000000003</v>
      </c>
      <c r="G33">
        <f>3*2*(6.1+2.3+2.3+12+7.8+2*2.4)</f>
        <v>211.79999999999998</v>
      </c>
    </row>
    <row r="34" spans="1:7">
      <c r="A34" t="s">
        <v>19</v>
      </c>
      <c r="B34">
        <f>3*1.5*(5.5+4.8+2.5)/0.13</f>
        <v>443.07692307692309</v>
      </c>
      <c r="G34">
        <f>3*(4*8.9+2*6.1+4*2.5+2*3.8+4*5.1+2*6.1+2*6.2+4.4+3.9)</f>
        <v>356.1</v>
      </c>
    </row>
    <row r="35" spans="1:7">
      <c r="B35">
        <f>3*1.5*(1.6+4.8+5.4)/0.13</f>
        <v>408.46153846153845</v>
      </c>
      <c r="F35">
        <f>3*(2*(6.9+6)+3.7+4.4)</f>
        <v>101.69999999999999</v>
      </c>
      <c r="G35">
        <f>3*(2*(4.9+8.9+3.8+3.8)+2.5)</f>
        <v>135.9</v>
      </c>
    </row>
    <row r="36" spans="1:7">
      <c r="A36" t="s">
        <v>30</v>
      </c>
      <c r="B36">
        <f>3*1.5*(5.2+4.8+5+5+4.8+5.4)/0.13</f>
        <v>1045.3846153846155</v>
      </c>
      <c r="G36">
        <f>3*(2*(8.9+5.5+10.9+8.9+2.5+6+3.6+3.5+10.7+5.7+8.9+2*2.5+11)+3.6+3.5+3.6+4.4+3.6+3.8+3.8+3.6+4.4)</f>
        <v>649.50000000000011</v>
      </c>
    </row>
    <row r="37" spans="1:7">
      <c r="A37" t="s">
        <v>22</v>
      </c>
      <c r="B37">
        <f>3*1.5*(6+6+5+5.5)/0.13</f>
        <v>778.84615384615381</v>
      </c>
      <c r="F37">
        <f>3*(2*(6.5+6.5+5.7+6.3)+4.4+3.8+4.4)</f>
        <v>187.79999999999998</v>
      </c>
      <c r="G37">
        <f>3*(2*(9.8+11.7+3.9+2.6+2.6)+4.2+3.9+3.8)</f>
        <v>219.3</v>
      </c>
    </row>
    <row r="38" spans="1:7">
      <c r="A38" t="s">
        <v>29</v>
      </c>
      <c r="B38">
        <f>3*1.5*(6.5+6+5.2+4.8+5+5)/0.13</f>
        <v>1125</v>
      </c>
      <c r="F38">
        <f>3*(2*(7.3+6.6+10.9+11.2)+4.2+3.8+3.5+4+4.5+5.2)</f>
        <v>291.60000000000002</v>
      </c>
      <c r="G38">
        <f>3*(2*(10.8+8.3+10.9+8.9+3+4+2*2.4)+3.6+3.5+3.6+4.4)</f>
        <v>349.49999999999994</v>
      </c>
    </row>
    <row r="39" spans="1:7">
      <c r="A39" t="s">
        <v>23</v>
      </c>
      <c r="B39">
        <f>3*1.5*(7.4+6+5+5)/0.13</f>
        <v>810</v>
      </c>
      <c r="F39">
        <f>3*(2*(7.9)+6.5+2*5.7+2*8.5+4.5+3.8+4.4)</f>
        <v>190.2</v>
      </c>
      <c r="G39">
        <f>3*(2*(2*11.2+11.7+4.1+3.9+2.8)+4.7+3.9+3.8)</f>
        <v>306.59999999999997</v>
      </c>
    </row>
    <row r="40" spans="1:7">
      <c r="A40" t="s">
        <v>27</v>
      </c>
      <c r="B40">
        <f>3*1.5*(2+6+5+5.5+1.2)/0.13</f>
        <v>681.92307692307679</v>
      </c>
      <c r="F40">
        <f>3*(2*(8.9+5.7+7.9)+4.9+3.8+4.6)</f>
        <v>174.89999999999998</v>
      </c>
      <c r="G40">
        <f>3*(2*(6+11.7+5.2+4.9+2*3.1)+3.9+3.8)</f>
        <v>227.10000000000002</v>
      </c>
    </row>
    <row r="41" spans="1:7">
      <c r="A41" t="s">
        <v>31</v>
      </c>
      <c r="B41">
        <f>3*1.5*(6+5+5.5)/0.13</f>
        <v>571.15384615384619</v>
      </c>
      <c r="F41">
        <f>3*((2*6.7+5.9+6.5)+4.9+3.8+4.6)</f>
        <v>117.30000000000001</v>
      </c>
      <c r="G41">
        <f>3*(2*(9.7+4.1+2.8+2.8)+3.9+3.8)</f>
        <v>139.49999999999997</v>
      </c>
    </row>
    <row r="42" spans="1:7">
      <c r="A42" t="s">
        <v>26</v>
      </c>
      <c r="B42">
        <f>3*1.5*(5+5.5)/0.13</f>
        <v>363.46153846153845</v>
      </c>
      <c r="E42">
        <f>3*(2*(6.2+7)+4.2+4.6)</f>
        <v>105.6</v>
      </c>
      <c r="F42">
        <f>3*((2*9.5+4.2+2*2.7)+3.8+3.1)</f>
        <v>106.5</v>
      </c>
    </row>
    <row r="43" spans="1:7">
      <c r="A43" t="s">
        <v>36</v>
      </c>
      <c r="B43">
        <f>6*(8/0.13)</f>
        <v>369.23076923076917</v>
      </c>
      <c r="F43">
        <f>6*(2*9.1+6.9)</f>
        <v>150.60000000000002</v>
      </c>
      <c r="G43">
        <f>6*(2*(9.8+3.5+2*3.7))</f>
        <v>248.40000000000003</v>
      </c>
    </row>
    <row r="44" spans="1:7">
      <c r="B44">
        <f>6*1.5*(3.5/0.13)</f>
        <v>242.30769230769232</v>
      </c>
      <c r="F44">
        <f>6*(2*5.1)</f>
        <v>61.199999999999996</v>
      </c>
      <c r="G44">
        <f>6*(2*(5.8+2*1.9+2*2.6))</f>
        <v>177.60000000000002</v>
      </c>
    </row>
    <row r="45" spans="1:7">
      <c r="A45" t="s">
        <v>26</v>
      </c>
      <c r="B45">
        <f>3*1.5*(4/0.13)</f>
        <v>138.46153846153845</v>
      </c>
      <c r="F45">
        <f>3*(2*5.1)</f>
        <v>30.599999999999998</v>
      </c>
      <c r="G45">
        <f>3*(2*5.8+2.4+1.9*2)</f>
        <v>53.400000000000006</v>
      </c>
    </row>
    <row r="46" spans="1:7">
      <c r="A46" t="s">
        <v>37</v>
      </c>
      <c r="B46">
        <f>3*(6+5+5.5+3.5)/0.13</f>
        <v>461.53846153846155</v>
      </c>
      <c r="E46">
        <f>3*(2*4.3)</f>
        <v>25.799999999999997</v>
      </c>
      <c r="F46">
        <f>3*(2*(11.7+3.9+4.9+3.9+3.8+2.6+6.8+5.7+6.3)+4.4+3.8+4.6)</f>
        <v>336</v>
      </c>
      <c r="G46">
        <f>3*(2*(3.8+2*2.9))</f>
        <v>57.599999999999994</v>
      </c>
    </row>
    <row r="47" spans="1:7">
      <c r="A47" t="s">
        <v>38</v>
      </c>
      <c r="B47">
        <f>6*1.5*(4.4+5.8)/0.13</f>
        <v>706.15384615384608</v>
      </c>
      <c r="F47">
        <f>6*(2*(3.6+3.4+4.6))</f>
        <v>139.19999999999999</v>
      </c>
      <c r="G47">
        <f>6*(4*(8.4+4.5+2.2+3.5)+5*(5+7.2))</f>
        <v>812.40000000000009</v>
      </c>
    </row>
    <row r="48" spans="1:7">
      <c r="A48" t="s">
        <v>33</v>
      </c>
      <c r="B48">
        <f>3*(3+3.8+3+3+5.5+4.2+5)/0.13</f>
        <v>634.61538461538464</v>
      </c>
      <c r="F48">
        <f>3*(2*(11.4+9.7+10.4)+4.2+3.3+4.6+2.9)</f>
        <v>234</v>
      </c>
      <c r="G48">
        <f>3*(2*(10.1+8.4+5.5+2+8.6+2*2.5)+3.3+3.2+2.4+2.5+2.6)</f>
        <v>279.60000000000002</v>
      </c>
    </row>
    <row r="49" spans="1:8">
      <c r="A49" t="s">
        <v>34</v>
      </c>
      <c r="B49">
        <f>3*(3.4+5+3.4)/0.13</f>
        <v>272.30769230769232</v>
      </c>
      <c r="F49">
        <f>3*(2*(4.2+9.6)+3.8)</f>
        <v>94.2</v>
      </c>
      <c r="G49">
        <f>3*(2*(7.2+7.3+1.9+1.9)+3.1+3.1)</f>
        <v>128.39999999999998</v>
      </c>
    </row>
    <row r="50" spans="1:8">
      <c r="A50" t="s">
        <v>39</v>
      </c>
    </row>
    <row r="51" spans="1:8">
      <c r="A51" t="s">
        <v>30</v>
      </c>
      <c r="B51">
        <f>6*1.5*(5.2+4.8+5+5+4.8+5.4)/0.13</f>
        <v>2090.7692307692309</v>
      </c>
      <c r="G51">
        <f>6*(2*(8.9+5.5+10.9+8.9+2.5+6+3.6+3.5+10.7+5.7+8.9+2*2.5+11)+3.6+3.5+3.6+4.4+3.6+3.8+3.8+3.6+4.4)</f>
        <v>1299.0000000000002</v>
      </c>
    </row>
    <row r="52" spans="1:8">
      <c r="A52" t="s">
        <v>19</v>
      </c>
      <c r="B52">
        <f>6*1.5*(5.5+4.8+2.5)/0.13</f>
        <v>886.15384615384619</v>
      </c>
      <c r="G52">
        <f>6*(4*8.9+2*6.1+4*2.5+2*3.8+4*5.1+2*6.1+2*6.2+4.4+3.9)</f>
        <v>712.2</v>
      </c>
    </row>
    <row r="53" spans="1:8">
      <c r="B53">
        <f>6*1.5*(1.6+4.8+5.4)/0.13</f>
        <v>816.92307692307691</v>
      </c>
      <c r="F53">
        <f>6*(2*(6.9+6)+3.7+4.4)</f>
        <v>203.39999999999998</v>
      </c>
      <c r="G53">
        <f>6*(2*(4.9+8.9+3.8+3.8)+2.5)</f>
        <v>271.8</v>
      </c>
    </row>
    <row r="54" spans="1:8">
      <c r="A54" t="s">
        <v>28</v>
      </c>
      <c r="B54">
        <f>6*1.5*(2.4+2.5+4.2)/0.13</f>
        <v>630</v>
      </c>
      <c r="F54">
        <f>3*(2*(12)+4.2)</f>
        <v>84.6</v>
      </c>
      <c r="G54">
        <f>3*(2*(12+2*7.8+2*2.4))</f>
        <v>194.39999999999998</v>
      </c>
    </row>
    <row r="55" spans="1:8">
      <c r="A55" t="s">
        <v>31</v>
      </c>
      <c r="B55">
        <f>6*1.5*(6+5+5.5)/0.13</f>
        <v>1142.3076923076924</v>
      </c>
      <c r="F55">
        <f>6*((2*6.7+2*5.7+2*6.5)+4.9+3.8+4.6)</f>
        <v>306.59999999999997</v>
      </c>
      <c r="G55">
        <f>6*(2*(9.7+9.5+2*2.8+2*2.8)+3.9+3.8)</f>
        <v>411</v>
      </c>
    </row>
    <row r="56" spans="1:8">
      <c r="A56" t="s">
        <v>23</v>
      </c>
      <c r="B56">
        <f>6*1.5*(6+5+5)/0.13</f>
        <v>1107.6923076923076</v>
      </c>
      <c r="F56">
        <f>6*(2*(6.9+5.7+6.5)+3.9+3.8+4.9+3.8+4.6)</f>
        <v>355.2</v>
      </c>
      <c r="G56">
        <f>6*(2*(9.7+4.1+2.8+2.8))</f>
        <v>232.79999999999998</v>
      </c>
    </row>
    <row r="57" spans="1:8">
      <c r="A57" t="s">
        <v>40</v>
      </c>
      <c r="B57">
        <f>12*1.5*(6+5+5.5+1.2)/0.13</f>
        <v>2450.7692307692305</v>
      </c>
      <c r="F57">
        <f>3*(2*(7.8+5.7+7.9)+4.9+3.8+4.6)</f>
        <v>168.29999999999998</v>
      </c>
      <c r="G57">
        <f>12*(2*(5+11.7+5.2+3.8+2*3.1)+3.9+3.8)</f>
        <v>858</v>
      </c>
    </row>
    <row r="58" spans="1:8">
      <c r="A58" t="s">
        <v>25</v>
      </c>
      <c r="B58">
        <f>6*((2.4+6+4)/0.13)</f>
        <v>572.30769230769238</v>
      </c>
      <c r="F58">
        <f>6*(2*(9.1+4.7)+4.4)</f>
        <v>192</v>
      </c>
      <c r="G58">
        <f>6*(2*(6.5+8.3+5.2+2)+3.6)</f>
        <v>285.60000000000002</v>
      </c>
    </row>
    <row r="59" spans="1:8">
      <c r="B59">
        <f>6*(4/0.13)</f>
        <v>184.61538461538458</v>
      </c>
      <c r="G59">
        <f>6*(2*5.8+5.1+2*2+2*2.6)</f>
        <v>155.39999999999998</v>
      </c>
    </row>
    <row r="60" spans="1:8">
      <c r="A60" t="s">
        <v>32</v>
      </c>
      <c r="B60">
        <f>12*1.5*(4.4+5.8)/0.13</f>
        <v>1412.3076923076922</v>
      </c>
      <c r="F60">
        <f>12*(2*(3.6+3.4+4.6))</f>
        <v>278.39999999999998</v>
      </c>
      <c r="G60">
        <f>12*(4*(8.4+4.5+2.2+3.5)+5*(5+7.2))</f>
        <v>1624.8000000000002</v>
      </c>
    </row>
    <row r="61" spans="1:8">
      <c r="A61" t="s">
        <v>33</v>
      </c>
      <c r="B61">
        <f>6*(6+4+3+5.5+4.2+5)/0.13</f>
        <v>1278.4615384615383</v>
      </c>
      <c r="F61">
        <f>3*(2*(11.4+9.7+10.4)+4.2+3.3+4.6+2.9)</f>
        <v>234</v>
      </c>
      <c r="G61">
        <f>6*(2*(4.3+8+11.2+8+4.6+2*3.5+3.6+2*3.4)+3.4+3.7+3.4+3.6)</f>
        <v>726.6</v>
      </c>
    </row>
    <row r="62" spans="1:8">
      <c r="A62" t="s">
        <v>41</v>
      </c>
      <c r="B62">
        <f>12*(3.4+5+3.4)/0.13</f>
        <v>1089.2307692307693</v>
      </c>
      <c r="F62">
        <f>12*(2*(4.2+9.6)+3.8)</f>
        <v>376.8</v>
      </c>
      <c r="G62">
        <f>12*(2*(7.2+7.3+1.9+1.9)+3.1+3.1)</f>
        <v>513.59999999999991</v>
      </c>
    </row>
    <row r="63" spans="1:8" s="10" customFormat="1">
      <c r="A63" s="10" t="s">
        <v>42</v>
      </c>
      <c r="B63" s="10">
        <f>SUM(B2:B62)</f>
        <v>28833.680769230767</v>
      </c>
      <c r="C63" s="10">
        <f t="shared" ref="C63:H63" si="0">SUM(C2:C62)</f>
        <v>0</v>
      </c>
      <c r="D63" s="10">
        <f t="shared" si="0"/>
        <v>0</v>
      </c>
      <c r="E63" s="10">
        <f t="shared" si="0"/>
        <v>1118.3799999999999</v>
      </c>
      <c r="F63" s="10">
        <f t="shared" si="0"/>
        <v>5397.95</v>
      </c>
      <c r="G63" s="10">
        <f t="shared" si="0"/>
        <v>13116.55</v>
      </c>
      <c r="H63" s="10">
        <f t="shared" si="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 Page</vt:lpstr>
      <vt:lpstr>preamble to BOQ</vt:lpstr>
      <vt:lpstr>Summary</vt:lpstr>
      <vt:lpstr>BOQ</vt:lpstr>
      <vt:lpstr>MECH</vt:lpstr>
      <vt:lpstr>Rebar</vt:lpstr>
      <vt:lpstr>BOQ!Print_Area</vt:lpstr>
      <vt:lpstr>'Cover Page'!Print_Area</vt:lpstr>
      <vt:lpstr>MECH!Print_Area</vt:lpstr>
      <vt:lpstr>'preamble to BOQ'!Print_Area</vt:lpstr>
      <vt:lpstr>Summary!Print_Area</vt:lpstr>
      <vt:lpstr>BOQ!Print_Titles</vt:lpstr>
      <vt:lpstr>MECH!Print_Titles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cuamm</cp:lastModifiedBy>
  <cp:lastPrinted>2024-11-05T14:01:04Z</cp:lastPrinted>
  <dcterms:created xsi:type="dcterms:W3CDTF">2013-05-22T17:33:18Z</dcterms:created>
  <dcterms:modified xsi:type="dcterms:W3CDTF">2025-05-09T09:46:00Z</dcterms:modified>
</cp:coreProperties>
</file>